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ldcw3k01\Publico\Cantera y Trituracion\Voladuras\Consumo de explosivos 2014\"/>
    </mc:Choice>
  </mc:AlternateContent>
  <bookViews>
    <workbookView minimized="1" xWindow="360" yWindow="300" windowWidth="11595" windowHeight="8520" activeTab="1"/>
  </bookViews>
  <sheets>
    <sheet name="Consumos Explosivos 2014" sheetId="3" r:id="rId1"/>
    <sheet name="Consumos Explosivos 2013" sheetId="4" r:id="rId2"/>
    <sheet name="Consumos Explosivos 2012" sheetId="1" r:id="rId3"/>
    <sheet name="Consumo de explosivo 2010" sheetId="2" r:id="rId4"/>
  </sheets>
  <calcPr calcId="152511"/>
</workbook>
</file>

<file path=xl/calcChain.xml><?xml version="1.0" encoding="utf-8"?>
<calcChain xmlns="http://schemas.openxmlformats.org/spreadsheetml/2006/main">
  <c r="E30" i="3" l="1"/>
  <c r="E28" i="3"/>
  <c r="C18" i="3" l="1"/>
  <c r="D18" i="3"/>
  <c r="F18" i="3" s="1"/>
  <c r="C19" i="3"/>
  <c r="D19" i="3"/>
  <c r="F19" i="3"/>
  <c r="C20" i="3"/>
  <c r="D20" i="3"/>
  <c r="F20" i="3" s="1"/>
  <c r="C21" i="3"/>
  <c r="D21" i="3"/>
  <c r="F21" i="3"/>
  <c r="C22" i="3"/>
  <c r="D22" i="3"/>
  <c r="F22" i="3" s="1"/>
  <c r="C23" i="3"/>
  <c r="D23" i="3"/>
  <c r="F23" i="3"/>
  <c r="C24" i="3"/>
  <c r="D24" i="3"/>
  <c r="F24" i="3" s="1"/>
  <c r="C25" i="3"/>
  <c r="D25" i="3"/>
  <c r="F25" i="3"/>
  <c r="C26" i="3"/>
  <c r="D26" i="3"/>
  <c r="F26" i="3" s="1"/>
  <c r="C27" i="3"/>
  <c r="D27" i="3"/>
  <c r="F27" i="3"/>
  <c r="D17" i="3"/>
  <c r="C17" i="3"/>
  <c r="D16" i="3" l="1"/>
  <c r="D15" i="3"/>
  <c r="C16" i="3"/>
  <c r="C15" i="3"/>
  <c r="D14" i="3" l="1"/>
  <c r="C14" i="3" l="1"/>
  <c r="D13" i="3"/>
  <c r="C13" i="3"/>
  <c r="F13" i="3"/>
  <c r="F14" i="3"/>
  <c r="F15" i="3"/>
  <c r="F16" i="3"/>
  <c r="F17" i="3"/>
  <c r="D12" i="3"/>
  <c r="F12" i="3"/>
  <c r="C12" i="3" l="1"/>
  <c r="G37" i="4"/>
  <c r="G30" i="4"/>
  <c r="G28" i="4"/>
  <c r="D27" i="4"/>
  <c r="C27" i="4"/>
  <c r="F27" i="4" s="1"/>
  <c r="D26" i="4"/>
  <c r="C26" i="4"/>
  <c r="F26" i="4" s="1"/>
  <c r="D25" i="4"/>
  <c r="C25" i="4"/>
  <c r="F25" i="4" s="1"/>
  <c r="D24" i="4"/>
  <c r="C24" i="4"/>
  <c r="F24" i="4" s="1"/>
  <c r="D23" i="4"/>
  <c r="C23" i="4"/>
  <c r="F23" i="4" s="1"/>
  <c r="D22" i="4"/>
  <c r="C22" i="4"/>
  <c r="F22" i="4" s="1"/>
  <c r="D21" i="4"/>
  <c r="C21" i="4"/>
  <c r="F21" i="4" s="1"/>
  <c r="D20" i="4"/>
  <c r="C20" i="4"/>
  <c r="F20" i="4" s="1"/>
  <c r="D19" i="4"/>
  <c r="C19" i="4"/>
  <c r="F19" i="4" s="1"/>
  <c r="D18" i="4"/>
  <c r="C18" i="4"/>
  <c r="F18" i="4" s="1"/>
  <c r="D17" i="4"/>
  <c r="C17" i="4"/>
  <c r="F17" i="4" s="1"/>
  <c r="D16" i="4"/>
  <c r="C16" i="4"/>
  <c r="F16" i="4" s="1"/>
  <c r="E15" i="4"/>
  <c r="E28" i="4" s="1"/>
  <c r="D15" i="4"/>
  <c r="C15" i="4"/>
  <c r="D14" i="4"/>
  <c r="C14" i="4"/>
  <c r="D13" i="4"/>
  <c r="C13" i="4"/>
  <c r="D12" i="4"/>
  <c r="D30" i="4" s="1"/>
  <c r="D37" i="4" s="1"/>
  <c r="C12" i="4"/>
  <c r="C30" i="4" l="1"/>
  <c r="F13" i="4"/>
  <c r="F14" i="4"/>
  <c r="F15" i="4"/>
  <c r="C37" i="4"/>
  <c r="C28" i="4"/>
  <c r="F12" i="4"/>
  <c r="F28" i="4" s="1"/>
  <c r="D28" i="4"/>
  <c r="E30" i="4"/>
  <c r="E37" i="4" s="1"/>
  <c r="D30" i="3"/>
  <c r="C30" i="3"/>
  <c r="D28" i="3"/>
  <c r="C28" i="3"/>
  <c r="G28" i="3"/>
  <c r="F30" i="4" l="1"/>
  <c r="F37" i="4"/>
  <c r="F30" i="3"/>
  <c r="F28" i="3" l="1"/>
  <c r="G30" i="3"/>
  <c r="G37" i="3" s="1"/>
  <c r="E37" i="3"/>
  <c r="C37" i="3" l="1"/>
  <c r="D37" i="3"/>
  <c r="G40" i="1"/>
  <c r="G33" i="1"/>
  <c r="G31" i="1"/>
  <c r="E33" i="1"/>
  <c r="E31" i="1"/>
  <c r="D30" i="1"/>
  <c r="C30" i="1"/>
  <c r="F30" i="1"/>
  <c r="F37" i="3" l="1"/>
  <c r="D29" i="1"/>
  <c r="C29" i="1"/>
  <c r="F29" i="1" s="1"/>
  <c r="D28" i="1" l="1"/>
  <c r="C28" i="1"/>
  <c r="F28" i="1" l="1"/>
  <c r="E40" i="1"/>
  <c r="D27" i="1" l="1"/>
  <c r="C27" i="1"/>
  <c r="F27" i="1" l="1"/>
  <c r="D26" i="1"/>
  <c r="C26" i="1"/>
  <c r="F26" i="1" s="1"/>
  <c r="D25" i="1" l="1"/>
  <c r="C25" i="1"/>
  <c r="F25" i="1" l="1"/>
  <c r="D18" i="1"/>
  <c r="D24" i="1"/>
  <c r="C24" i="1"/>
  <c r="D23" i="1"/>
  <c r="F23" i="1" s="1"/>
  <c r="C23" i="1"/>
  <c r="D22" i="1"/>
  <c r="C22" i="1"/>
  <c r="D21" i="1"/>
  <c r="F21" i="1" s="1"/>
  <c r="C21" i="1"/>
  <c r="D20" i="1"/>
  <c r="D19" i="1"/>
  <c r="D17" i="1"/>
  <c r="C20" i="1"/>
  <c r="C19" i="1"/>
  <c r="C18" i="1"/>
  <c r="C17" i="1"/>
  <c r="F17" i="1" s="1"/>
  <c r="C12" i="1"/>
  <c r="F20" i="1"/>
  <c r="F22" i="1"/>
  <c r="D12" i="1"/>
  <c r="D16" i="1"/>
  <c r="F24" i="1" l="1"/>
  <c r="F12" i="1"/>
  <c r="E41" i="2"/>
  <c r="E40" i="2"/>
  <c r="E42" i="2" s="1"/>
  <c r="E32" i="2"/>
  <c r="C24" i="2"/>
  <c r="E22" i="2"/>
  <c r="E37" i="2" l="1"/>
  <c r="G41" i="2" s="1"/>
  <c r="F19" i="1"/>
  <c r="F18" i="1" l="1"/>
  <c r="C16" i="1" l="1"/>
  <c r="F16" i="1" l="1"/>
  <c r="D15" i="1" l="1"/>
  <c r="C15" i="1"/>
  <c r="D14" i="1"/>
  <c r="F15" i="1" l="1"/>
  <c r="D13" i="1"/>
  <c r="C14" i="1"/>
  <c r="F14" i="1" s="1"/>
  <c r="D31" i="1" l="1"/>
  <c r="D33" i="1"/>
  <c r="D40" i="1"/>
  <c r="C13" i="1"/>
  <c r="C31" i="1" l="1"/>
  <c r="C33" i="1"/>
  <c r="F13" i="1"/>
  <c r="F31" i="1" s="1"/>
  <c r="D22" i="2"/>
  <c r="F22" i="2" s="1"/>
  <c r="F33" i="1" l="1"/>
  <c r="C40" i="1"/>
  <c r="F40" i="1" s="1"/>
  <c r="F41" i="2"/>
  <c r="D37" i="2"/>
  <c r="B16" i="2" l="1"/>
  <c r="B17" i="2"/>
  <c r="E17" i="2" s="1"/>
  <c r="E16" i="2"/>
  <c r="B18" i="2"/>
  <c r="E18" i="2" s="1"/>
  <c r="D15" i="2"/>
  <c r="D14" i="2"/>
  <c r="B15" i="2"/>
  <c r="B14" i="2"/>
  <c r="B13" i="2"/>
  <c r="E13" i="2" s="1"/>
  <c r="B12" i="2"/>
  <c r="E12" i="2" s="1"/>
  <c r="E14" i="2" l="1"/>
  <c r="E15" i="2"/>
</calcChain>
</file>

<file path=xl/comments1.xml><?xml version="1.0" encoding="utf-8"?>
<comments xmlns="http://schemas.openxmlformats.org/spreadsheetml/2006/main">
  <authors>
    <author>Pedro Godin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Pedro Godin:</t>
        </r>
        <r>
          <rPr>
            <sz val="9"/>
            <color indexed="81"/>
            <rFont val="Tahoma"/>
            <family val="2"/>
          </rPr>
          <t xml:space="preserve">
Se volaron 30000 ton de material estéril y 10196 ton de caliza de Frente 3 Nivel inferior.</t>
        </r>
      </text>
    </comment>
  </commentList>
</comments>
</file>

<file path=xl/sharedStrings.xml><?xml version="1.0" encoding="utf-8"?>
<sst xmlns="http://schemas.openxmlformats.org/spreadsheetml/2006/main" count="113" uniqueCount="45">
  <si>
    <t>NUMERO DE VOLADURA</t>
  </si>
  <si>
    <t>CONSUMO DE ANFO (gr)</t>
  </si>
  <si>
    <t>CONSUMO PENTOFEX (gr)</t>
  </si>
  <si>
    <t>CONSUMOS (gr/Ton)</t>
  </si>
  <si>
    <t>CALIZA Volada (Ton)</t>
  </si>
  <si>
    <t xml:space="preserve">ENERO </t>
  </si>
  <si>
    <t>FEBRERO</t>
  </si>
  <si>
    <t>MARZO</t>
  </si>
  <si>
    <t>ABRIL</t>
  </si>
  <si>
    <t>MAYO</t>
  </si>
  <si>
    <t>VOLADURA año 2010</t>
  </si>
  <si>
    <t>JUNIO</t>
  </si>
  <si>
    <t>JULIO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</si>
  <si>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</si>
  <si>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</si>
  <si>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</si>
  <si>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</si>
  <si>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</si>
  <si>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</si>
  <si>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</si>
  <si>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</si>
  <si>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</si>
  <si>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</si>
  <si>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</si>
  <si>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</si>
  <si>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</si>
  <si>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sabanagrande</t>
  </si>
  <si>
    <t>portatil</t>
  </si>
  <si>
    <t>por presupuesto</t>
  </si>
  <si>
    <t>diferencia presup/real</t>
  </si>
  <si>
    <t>adicional</t>
  </si>
  <si>
    <t>VOLADURA AÑO 2012</t>
  </si>
  <si>
    <t>AGOSTO</t>
  </si>
  <si>
    <t xml:space="preserve">PROMEDIO AÑO </t>
  </si>
  <si>
    <t>SEPTIEMBRE</t>
  </si>
  <si>
    <t>OCTUBRE</t>
  </si>
  <si>
    <t>NOVIEMBRE</t>
  </si>
  <si>
    <t>Sumatoria Año</t>
  </si>
  <si>
    <t>DICIEMBRE</t>
  </si>
  <si>
    <t xml:space="preserve">DICIEMBRE </t>
  </si>
  <si>
    <t>CONSUMO INDUGEL (Unid)</t>
  </si>
  <si>
    <t>N° VOLADURA</t>
  </si>
  <si>
    <t>VOLADURA AÑO 2013</t>
  </si>
  <si>
    <t>ENERO</t>
  </si>
  <si>
    <t>VOLADURA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</si>
</sst>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(* #,##0_);_(* \(#,##0\);_(* &quot;-&quot;??_);_(@_)"/>
    <numFmt numFmtId="168" formatCode="[$-C0A]d\-mmm\-yy;@"/>
    <numFmt numFmtId="169" formatCode="0.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/>
    <xf numFmtId="166" fontId="5" fillId="0" borderId="1" xfId="0" applyNumberFormat="1" applyFont="1" applyBorder="1"/>
    <xf numFmtId="165" fontId="5" fillId="0" borderId="1" xfId="1" applyNumberFormat="1" applyFont="1" applyBorder="1" applyAlignment="1">
      <alignment horizontal="center"/>
    </xf>
    <xf numFmtId="166" fontId="0" fillId="0" borderId="0" xfId="0" applyNumberFormat="1"/>
    <xf numFmtId="166" fontId="5" fillId="0" borderId="0" xfId="0" applyNumberFormat="1" applyFont="1" applyBorder="1"/>
    <xf numFmtId="0" fontId="0" fillId="0" borderId="0" xfId="0" applyBorder="1"/>
    <xf numFmtId="166" fontId="0" fillId="0" borderId="0" xfId="1" applyNumberFormat="1" applyFont="1" applyBorder="1" applyAlignment="1">
      <alignment horizontal="center"/>
    </xf>
    <xf numFmtId="0" fontId="6" fillId="0" borderId="0" xfId="0" applyFont="1"/>
    <xf numFmtId="0" fontId="6" fillId="2" borderId="0" xfId="0" applyFont="1" applyFill="1"/>
    <xf numFmtId="166" fontId="7" fillId="2" borderId="0" xfId="0" applyNumberFormat="1" applyFont="1" applyFill="1"/>
    <xf numFmtId="0" fontId="6" fillId="2" borderId="0" xfId="0" applyFont="1" applyFill="1" applyBorder="1"/>
    <xf numFmtId="3" fontId="6" fillId="2" borderId="0" xfId="0" applyNumberFormat="1" applyFont="1" applyFill="1"/>
    <xf numFmtId="3" fontId="7" fillId="2" borderId="0" xfId="0" applyNumberFormat="1" applyFont="1" applyFill="1"/>
    <xf numFmtId="166" fontId="6" fillId="2" borderId="0" xfId="0" applyNumberFormat="1" applyFont="1" applyFill="1"/>
    <xf numFmtId="166" fontId="6" fillId="2" borderId="0" xfId="0" applyNumberFormat="1" applyFont="1" applyFill="1" applyBorder="1"/>
    <xf numFmtId="0" fontId="7" fillId="2" borderId="0" xfId="0" applyFont="1" applyFill="1" applyBorder="1"/>
    <xf numFmtId="168" fontId="0" fillId="0" borderId="0" xfId="0" applyNumberFormat="1" applyAlignment="1">
      <alignment horizontal="center" vertical="center"/>
    </xf>
    <xf numFmtId="168" fontId="6" fillId="2" borderId="0" xfId="0" applyNumberFormat="1" applyFont="1" applyFill="1" applyAlignment="1">
      <alignment horizontal="center" vertical="center"/>
    </xf>
    <xf numFmtId="168" fontId="6" fillId="2" borderId="0" xfId="0" applyNumberFormat="1" applyFont="1" applyFill="1" applyBorder="1" applyAlignment="1">
      <alignment horizontal="center" vertical="center"/>
    </xf>
    <xf numFmtId="168" fontId="7" fillId="2" borderId="0" xfId="0" applyNumberFormat="1" applyFont="1" applyFill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9" fontId="0" fillId="0" borderId="0" xfId="0" applyNumberFormat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left" vertical="center"/>
    </xf>
    <xf numFmtId="166" fontId="0" fillId="0" borderId="0" xfId="0" applyNumberFormat="1" applyBorder="1"/>
    <xf numFmtId="0" fontId="3" fillId="3" borderId="1" xfId="0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1285875</xdr:colOff>
      <xdr:row>7</xdr:row>
      <xdr:rowOff>152400</xdr:rowOff>
    </xdr:to>
    <xdr:pic>
      <xdr:nvPicPr>
        <xdr:cNvPr id="2" name="Picture 6" descr="Practica Brigada de Segurida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0910" t="78296" r="2605" b="2762"/>
        <a:stretch>
          <a:fillRect/>
        </a:stretch>
      </xdr:blipFill>
      <xdr:spPr bwMode="auto">
        <a:xfrm>
          <a:off x="0" y="9525"/>
          <a:ext cx="12858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1276349</xdr:colOff>
      <xdr:row>0</xdr:row>
      <xdr:rowOff>9525</xdr:rowOff>
    </xdr:from>
    <xdr:to>
      <xdr:col>7</xdr:col>
      <xdr:colOff>9524</xdr:colOff>
      <xdr:row>7</xdr:row>
      <xdr:rowOff>152400</xdr:rowOff>
    </xdr:to>
    <xdr:sp macro="" textlink="">
      <xdr:nvSpPr>
        <xdr:cNvPr id="3" name="Rectangle 10"/>
        <xdr:cNvSpPr>
          <a:spLocks noChangeArrowheads="1"/>
        </xdr:cNvSpPr>
      </xdr:nvSpPr>
      <xdr:spPr bwMode="auto">
        <a:xfrm>
          <a:off x="1276349" y="9525"/>
          <a:ext cx="8896350" cy="1276350"/>
        </a:xfrm>
        <a:prstGeom prst="rect">
          <a:avLst/>
        </a:prstGeom>
        <a:solidFill>
          <a:srgbClr val="C1D72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CO" sz="2200" b="0" i="0" strike="noStrike">
              <a:solidFill>
                <a:srgbClr val="000000"/>
              </a:solidFill>
              <a:latin typeface="Arial"/>
              <a:cs typeface="Arial"/>
            </a:rPr>
            <a:t>CONTROL DE CONSUMO DE EXPLOSIVOS</a:t>
          </a:r>
          <a:endParaRPr lang="es-C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CO" sz="2200" b="0" i="0" strike="noStrike">
              <a:solidFill>
                <a:srgbClr val="000000"/>
              </a:solidFill>
              <a:latin typeface="Arial"/>
              <a:cs typeface="Arial"/>
            </a:rPr>
            <a:t>PLANTA TOLUVIEJO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1285875</xdr:colOff>
      <xdr:row>7</xdr:row>
      <xdr:rowOff>152400</xdr:rowOff>
    </xdr:to>
    <xdr:pic>
      <xdr:nvPicPr>
        <xdr:cNvPr id="2" name="Picture 6" descr="Practica Brigada de Segurida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0910" t="78296" r="2605" b="2762"/>
        <a:stretch>
          <a:fillRect/>
        </a:stretch>
      </xdr:blipFill>
      <xdr:spPr bwMode="auto">
        <a:xfrm>
          <a:off x="0" y="9525"/>
          <a:ext cx="12858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1276349</xdr:colOff>
      <xdr:row>0</xdr:row>
      <xdr:rowOff>9525</xdr:rowOff>
    </xdr:from>
    <xdr:to>
      <xdr:col>7</xdr:col>
      <xdr:colOff>9524</xdr:colOff>
      <xdr:row>7</xdr:row>
      <xdr:rowOff>152400</xdr:rowOff>
    </xdr:to>
    <xdr:sp macro="" textlink="">
      <xdr:nvSpPr>
        <xdr:cNvPr id="3" name="Rectangle 10"/>
        <xdr:cNvSpPr>
          <a:spLocks noChangeArrowheads="1"/>
        </xdr:cNvSpPr>
      </xdr:nvSpPr>
      <xdr:spPr bwMode="auto">
        <a:xfrm>
          <a:off x="1276349" y="9525"/>
          <a:ext cx="9172575" cy="1276350"/>
        </a:xfrm>
        <a:prstGeom prst="rect">
          <a:avLst/>
        </a:prstGeom>
        <a:solidFill>
          <a:srgbClr val="C1D72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CO" sz="2200" b="0" i="0" strike="noStrike">
              <a:solidFill>
                <a:srgbClr val="000000"/>
              </a:solidFill>
              <a:latin typeface="Arial"/>
              <a:cs typeface="Arial"/>
            </a:rPr>
            <a:t>CONTROL DE CONSUMO DE EXPLOSIVOS</a:t>
          </a:r>
          <a:endParaRPr lang="es-C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CO" sz="2200" b="0" i="0" strike="noStrike">
              <a:solidFill>
                <a:srgbClr val="000000"/>
              </a:solidFill>
              <a:latin typeface="Arial"/>
              <a:cs typeface="Arial"/>
            </a:rPr>
            <a:t>PLANTA TOLUVIEJO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1285875</xdr:colOff>
      <xdr:row>7</xdr:row>
      <xdr:rowOff>152400</xdr:rowOff>
    </xdr:to>
    <xdr:pic>
      <xdr:nvPicPr>
        <xdr:cNvPr id="1025" name="Picture 6" descr="Practica Brigada de Segurida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0910" t="78296" r="2605" b="2762"/>
        <a:stretch>
          <a:fillRect/>
        </a:stretch>
      </xdr:blipFill>
      <xdr:spPr bwMode="auto">
        <a:xfrm>
          <a:off x="0" y="9525"/>
          <a:ext cx="12858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1276349</xdr:colOff>
      <xdr:row>0</xdr:row>
      <xdr:rowOff>9525</xdr:rowOff>
    </xdr:from>
    <xdr:to>
      <xdr:col>7</xdr:col>
      <xdr:colOff>9524</xdr:colOff>
      <xdr:row>7</xdr:row>
      <xdr:rowOff>152400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1276349" y="9525"/>
          <a:ext cx="9458325" cy="1276350"/>
        </a:xfrm>
        <a:prstGeom prst="rect">
          <a:avLst/>
        </a:prstGeom>
        <a:solidFill>
          <a:srgbClr val="C1D72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CO" sz="2200" b="0" i="0" strike="noStrike">
              <a:solidFill>
                <a:srgbClr val="000000"/>
              </a:solidFill>
              <a:latin typeface="Arial"/>
              <a:cs typeface="Arial"/>
            </a:rPr>
            <a:t>CONTROL DE CONSUMO DE EXPLOSIVOS</a:t>
          </a:r>
          <a:endParaRPr lang="es-C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CO" sz="2200" b="0" i="0" strike="noStrike">
              <a:solidFill>
                <a:srgbClr val="000000"/>
              </a:solidFill>
              <a:latin typeface="Arial"/>
              <a:cs typeface="Arial"/>
            </a:rPr>
            <a:t>PLANTA TOLUVIEJO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5</xdr:col>
      <xdr:colOff>19050</xdr:colOff>
      <xdr:row>7</xdr:row>
      <xdr:rowOff>123825</xdr:rowOff>
    </xdr:to>
    <xdr:sp macro="" textlink="">
      <xdr:nvSpPr>
        <xdr:cNvPr id="1025" name="Rectangle 10"/>
        <xdr:cNvSpPr>
          <a:spLocks noChangeArrowheads="1"/>
        </xdr:cNvSpPr>
      </xdr:nvSpPr>
      <xdr:spPr bwMode="auto">
        <a:xfrm>
          <a:off x="9525" y="9525"/>
          <a:ext cx="7696200" cy="1247775"/>
        </a:xfrm>
        <a:prstGeom prst="rect">
          <a:avLst/>
        </a:prstGeom>
        <a:solidFill>
          <a:srgbClr val="C1D72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200" b="0" i="0" strike="noStrike">
              <a:solidFill>
                <a:srgbClr val="000000"/>
              </a:solidFill>
              <a:latin typeface="Arial"/>
              <a:cs typeface="Arial"/>
            </a:rPr>
            <a:t>CONTROL DE CONSUMO DE EXPLOSIVOS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200" b="0" i="0" strike="noStrike">
              <a:solidFill>
                <a:srgbClr val="000000"/>
              </a:solidFill>
              <a:latin typeface="Arial"/>
              <a:cs typeface="Arial"/>
            </a:rPr>
            <a:t>PLANTA TOLUVIEJO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D22" sqref="D22"/>
    </sheetView>
  </sheetViews>
  <sheetFormatPr baseColWidth="10" defaultRowHeight="12.75" x14ac:dyDescent="0.2"/>
  <cols>
    <col min="1" max="1" width="23.140625" customWidth="1"/>
    <col min="2" max="2" width="20.5703125" bestFit="1" customWidth="1"/>
    <col min="3" max="3" width="23.140625" bestFit="1" customWidth="1"/>
    <col min="4" max="4" width="24.85546875" bestFit="1" customWidth="1"/>
    <col min="5" max="5" width="19.85546875" bestFit="1" customWidth="1"/>
    <col min="6" max="6" width="19.5703125" bestFit="1" customWidth="1"/>
    <col min="7" max="7" width="25.42578125" bestFit="1" customWidth="1"/>
  </cols>
  <sheetData>
    <row r="1" spans="1:7" x14ac:dyDescent="0.2">
      <c r="A1" s="1"/>
      <c r="B1" s="1"/>
      <c r="C1" s="1"/>
      <c r="D1" s="1"/>
      <c r="E1" s="1"/>
      <c r="F1" s="1"/>
      <c r="G1" s="21"/>
    </row>
    <row r="2" spans="1:7" x14ac:dyDescent="0.2">
      <c r="A2" s="1"/>
      <c r="B2" s="1"/>
      <c r="C2" s="1"/>
      <c r="D2" s="1"/>
      <c r="E2" s="1"/>
      <c r="F2" s="1"/>
      <c r="G2" s="21"/>
    </row>
    <row r="3" spans="1:7" x14ac:dyDescent="0.2">
      <c r="A3" s="1"/>
      <c r="B3" s="1"/>
      <c r="C3" s="1"/>
      <c r="D3" s="1"/>
      <c r="E3" s="1"/>
      <c r="F3" s="1"/>
      <c r="G3" s="21"/>
    </row>
    <row r="4" spans="1:7" x14ac:dyDescent="0.2">
      <c r="A4" s="1"/>
      <c r="B4" s="1"/>
      <c r="C4" s="1"/>
      <c r="D4" s="1"/>
      <c r="E4" s="1"/>
      <c r="F4" s="1"/>
      <c r="G4" s="21"/>
    </row>
    <row r="5" spans="1:7" x14ac:dyDescent="0.2">
      <c r="A5" s="1"/>
      <c r="B5" s="1"/>
      <c r="C5" s="1"/>
      <c r="D5" s="1"/>
      <c r="E5" s="1"/>
      <c r="F5" s="1"/>
      <c r="G5" s="21"/>
    </row>
    <row r="6" spans="1:7" x14ac:dyDescent="0.2">
      <c r="A6" s="1"/>
      <c r="B6" s="1"/>
      <c r="C6" s="1"/>
      <c r="D6" s="1"/>
      <c r="E6" s="1"/>
      <c r="F6" s="1"/>
      <c r="G6" s="21"/>
    </row>
    <row r="7" spans="1:7" x14ac:dyDescent="0.2">
      <c r="A7" s="1"/>
      <c r="B7" s="1"/>
      <c r="C7" s="1"/>
      <c r="D7" s="1"/>
      <c r="E7" s="1"/>
      <c r="F7" s="1"/>
      <c r="G7" s="21"/>
    </row>
    <row r="8" spans="1:7" x14ac:dyDescent="0.2">
      <c r="G8" s="21"/>
    </row>
    <row r="9" spans="1:7" x14ac:dyDescent="0.2">
      <c r="G9" s="21"/>
    </row>
    <row r="10" spans="1:7" x14ac:dyDescent="0.2">
      <c r="G10" s="21"/>
    </row>
    <row r="11" spans="1:7" x14ac:dyDescent="0.2">
      <c r="A11" s="39" t="s">
        <v>41</v>
      </c>
      <c r="B11" s="39" t="s">
        <v>44</v>
      </c>
      <c r="C11" s="39" t="s">
        <v>1</v>
      </c>
      <c r="D11" s="39" t="s">
        <v>2</v>
      </c>
      <c r="E11" s="39" t="s">
        <v>4</v>
      </c>
      <c r="F11" s="39" t="s">
        <v>3</v>
      </c>
      <c r="G11" s="39" t="s">
        <v>40</v>
      </c>
    </row>
    <row r="12" spans="1:7" x14ac:dyDescent="0.2">
      <c r="A12" s="27">
        <v>1</v>
      </c>
      <c r="B12" s="44">
        <v>45292</v>
      </c>
      <c r="C12" s="29">
        <f>(274*25)*1000</f>
        <v>6850000</v>
      </c>
      <c r="D12" s="29">
        <f>+(91*337.5)</f>
        <v>30712.5</v>
      </c>
      <c r="E12" s="29">
        <v>45253</v>
      </c>
      <c r="F12" s="31">
        <f>(C12+D12)/E12</f>
        <v>152.04986409740792</v>
      </c>
      <c r="G12" s="27">
        <v>0</v>
      </c>
    </row>
    <row r="13" spans="1:7" x14ac:dyDescent="0.2">
      <c r="A13" s="27">
        <v>2</v>
      </c>
      <c r="B13" s="46">
        <v>46054</v>
      </c>
      <c r="C13" s="29">
        <f>(130*25)*1000</f>
        <v>3250000</v>
      </c>
      <c r="D13" s="29">
        <f>+(84*337.5)</f>
        <v>28350</v>
      </c>
      <c r="E13" s="29">
        <v>20144</v>
      </c>
      <c r="F13" s="31">
        <f t="shared" ref="F13:F17" si="0">(C13+D13)/E13</f>
        <v>162.74573073868149</v>
      </c>
      <c r="G13" s="27">
        <v>0</v>
      </c>
    </row>
    <row r="14" spans="1:7" x14ac:dyDescent="0.2">
      <c r="A14" s="27">
        <v>3</v>
      </c>
      <c r="B14" s="46">
        <v>38777</v>
      </c>
      <c r="C14" s="29">
        <f>(122*25)*1000</f>
        <v>3050000</v>
      </c>
      <c r="D14" s="29">
        <f>+(59*337.5)</f>
        <v>19912.5</v>
      </c>
      <c r="E14" s="29">
        <v>25882</v>
      </c>
      <c r="F14" s="31">
        <f t="shared" si="0"/>
        <v>118.61187311645159</v>
      </c>
      <c r="G14" s="27">
        <v>0</v>
      </c>
    </row>
    <row r="15" spans="1:7" x14ac:dyDescent="0.2">
      <c r="A15" s="28">
        <v>4</v>
      </c>
      <c r="B15" s="46">
        <v>39539</v>
      </c>
      <c r="C15" s="29">
        <f>(146*25)*1000</f>
        <v>3650000</v>
      </c>
      <c r="D15" s="29">
        <f>+(96*337.5)</f>
        <v>32400</v>
      </c>
      <c r="E15" s="29">
        <v>29156</v>
      </c>
      <c r="F15" s="31">
        <f t="shared" si="0"/>
        <v>126.29990396487858</v>
      </c>
      <c r="G15" s="27">
        <v>0</v>
      </c>
    </row>
    <row r="16" spans="1:7" x14ac:dyDescent="0.2">
      <c r="A16" s="28">
        <v>5</v>
      </c>
      <c r="B16" s="46">
        <v>42095</v>
      </c>
      <c r="C16" s="29">
        <f>(208*25)*1000</f>
        <v>5200000</v>
      </c>
      <c r="D16" s="29">
        <f>+(82*337.5)</f>
        <v>27675</v>
      </c>
      <c r="E16" s="29">
        <v>34274</v>
      </c>
      <c r="F16" s="31">
        <f t="shared" si="0"/>
        <v>152.52596720546185</v>
      </c>
      <c r="G16" s="27">
        <v>0</v>
      </c>
    </row>
    <row r="17" spans="1:7" x14ac:dyDescent="0.2">
      <c r="A17" s="28">
        <v>6</v>
      </c>
      <c r="B17" s="46">
        <v>44682</v>
      </c>
      <c r="C17" s="29">
        <f>(0*25)*1000</f>
        <v>0</v>
      </c>
      <c r="D17" s="29">
        <f>+(0*337.5)</f>
        <v>0</v>
      </c>
      <c r="E17" s="29">
        <v>0</v>
      </c>
      <c r="F17" s="31" t="e">
        <f t="shared" si="0"/>
        <v>#DIV/0!</v>
      </c>
      <c r="G17" s="27">
        <v>0</v>
      </c>
    </row>
    <row r="18" spans="1:7" x14ac:dyDescent="0.2">
      <c r="A18" s="28">
        <v>7</v>
      </c>
      <c r="B18" s="30"/>
      <c r="C18" s="29">
        <f t="shared" ref="C18:C27" si="1">(0*25)*1000</f>
        <v>0</v>
      </c>
      <c r="D18" s="29">
        <f t="shared" ref="D18:D27" si="2">+(0*337.5)</f>
        <v>0</v>
      </c>
      <c r="E18" s="29">
        <v>0</v>
      </c>
      <c r="F18" s="31" t="e">
        <f t="shared" ref="F18:F27" si="3">(C18+D18)/E18</f>
        <v>#DIV/0!</v>
      </c>
      <c r="G18" s="27">
        <v>0</v>
      </c>
    </row>
    <row r="19" spans="1:7" x14ac:dyDescent="0.2">
      <c r="A19" s="28">
        <v>8</v>
      </c>
      <c r="B19" s="30"/>
      <c r="C19" s="29">
        <f t="shared" si="1"/>
        <v>0</v>
      </c>
      <c r="D19" s="29">
        <f t="shared" si="2"/>
        <v>0</v>
      </c>
      <c r="E19" s="29">
        <v>0</v>
      </c>
      <c r="F19" s="31" t="e">
        <f t="shared" si="3"/>
        <v>#DIV/0!</v>
      </c>
      <c r="G19" s="27">
        <v>0</v>
      </c>
    </row>
    <row r="20" spans="1:7" x14ac:dyDescent="0.2">
      <c r="A20" s="28">
        <v>9</v>
      </c>
      <c r="B20" s="30"/>
      <c r="C20" s="29">
        <f t="shared" si="1"/>
        <v>0</v>
      </c>
      <c r="D20" s="29">
        <f t="shared" si="2"/>
        <v>0</v>
      </c>
      <c r="E20" s="29">
        <v>0</v>
      </c>
      <c r="F20" s="31" t="e">
        <f t="shared" si="3"/>
        <v>#DIV/0!</v>
      </c>
      <c r="G20" s="27">
        <v>0</v>
      </c>
    </row>
    <row r="21" spans="1:7" x14ac:dyDescent="0.2">
      <c r="A21" s="28">
        <v>10</v>
      </c>
      <c r="B21" s="30"/>
      <c r="C21" s="29">
        <f t="shared" si="1"/>
        <v>0</v>
      </c>
      <c r="D21" s="29">
        <f t="shared" si="2"/>
        <v>0</v>
      </c>
      <c r="E21" s="29">
        <v>0</v>
      </c>
      <c r="F21" s="31" t="e">
        <f t="shared" si="3"/>
        <v>#DIV/0!</v>
      </c>
      <c r="G21" s="27">
        <v>0</v>
      </c>
    </row>
    <row r="22" spans="1:7" x14ac:dyDescent="0.2">
      <c r="A22" s="28">
        <v>11</v>
      </c>
      <c r="B22" s="30"/>
      <c r="C22" s="29">
        <f t="shared" si="1"/>
        <v>0</v>
      </c>
      <c r="D22" s="29">
        <f t="shared" si="2"/>
        <v>0</v>
      </c>
      <c r="E22" s="29">
        <v>0</v>
      </c>
      <c r="F22" s="31" t="e">
        <f t="shared" si="3"/>
        <v>#DIV/0!</v>
      </c>
      <c r="G22" s="27">
        <v>0</v>
      </c>
    </row>
    <row r="23" spans="1:7" x14ac:dyDescent="0.2">
      <c r="A23" s="28">
        <v>12</v>
      </c>
      <c r="B23" s="30"/>
      <c r="C23" s="29">
        <f t="shared" si="1"/>
        <v>0</v>
      </c>
      <c r="D23" s="29">
        <f t="shared" si="2"/>
        <v>0</v>
      </c>
      <c r="E23" s="29">
        <v>0</v>
      </c>
      <c r="F23" s="31" t="e">
        <f t="shared" si="3"/>
        <v>#DIV/0!</v>
      </c>
      <c r="G23" s="27">
        <v>0</v>
      </c>
    </row>
    <row r="24" spans="1:7" x14ac:dyDescent="0.2">
      <c r="A24" s="28">
        <v>13</v>
      </c>
      <c r="B24" s="30"/>
      <c r="C24" s="29">
        <f t="shared" si="1"/>
        <v>0</v>
      </c>
      <c r="D24" s="29">
        <f t="shared" si="2"/>
        <v>0</v>
      </c>
      <c r="E24" s="29">
        <v>0</v>
      </c>
      <c r="F24" s="31" t="e">
        <f t="shared" si="3"/>
        <v>#DIV/0!</v>
      </c>
      <c r="G24" s="27">
        <v>0</v>
      </c>
    </row>
    <row r="25" spans="1:7" x14ac:dyDescent="0.2">
      <c r="A25" s="28">
        <v>14</v>
      </c>
      <c r="B25" s="30"/>
      <c r="C25" s="29">
        <f t="shared" si="1"/>
        <v>0</v>
      </c>
      <c r="D25" s="29">
        <f t="shared" si="2"/>
        <v>0</v>
      </c>
      <c r="E25" s="29">
        <v>0</v>
      </c>
      <c r="F25" s="31" t="e">
        <f t="shared" si="3"/>
        <v>#DIV/0!</v>
      </c>
      <c r="G25" s="27">
        <v>0</v>
      </c>
    </row>
    <row r="26" spans="1:7" x14ac:dyDescent="0.2">
      <c r="A26" s="28">
        <v>15</v>
      </c>
      <c r="B26" s="30"/>
      <c r="C26" s="29">
        <f t="shared" si="1"/>
        <v>0</v>
      </c>
      <c r="D26" s="29">
        <f t="shared" si="2"/>
        <v>0</v>
      </c>
      <c r="E26" s="29">
        <v>0</v>
      </c>
      <c r="F26" s="31" t="e">
        <f t="shared" si="3"/>
        <v>#DIV/0!</v>
      </c>
      <c r="G26" s="27">
        <v>0</v>
      </c>
    </row>
    <row r="27" spans="1:7" x14ac:dyDescent="0.2">
      <c r="A27" s="28">
        <v>16</v>
      </c>
      <c r="B27" s="30"/>
      <c r="C27" s="29">
        <f t="shared" si="1"/>
        <v>0</v>
      </c>
      <c r="D27" s="29">
        <f t="shared" si="2"/>
        <v>0</v>
      </c>
      <c r="E27" s="29">
        <v>0</v>
      </c>
      <c r="F27" s="31" t="e">
        <f t="shared" si="3"/>
        <v>#DIV/0!</v>
      </c>
      <c r="G27" s="27">
        <v>0</v>
      </c>
    </row>
    <row r="28" spans="1:7" x14ac:dyDescent="0.2">
      <c r="A28" s="47" t="s">
        <v>33</v>
      </c>
      <c r="B28" s="47"/>
      <c r="C28" s="33">
        <f>AVERAGE(C12:C27)</f>
        <v>1375000</v>
      </c>
      <c r="D28" s="33">
        <f>AVERAGE(D12:D27)</f>
        <v>8690.625</v>
      </c>
      <c r="E28" s="33">
        <f>AVERAGE(E12:E27)</f>
        <v>9669.3125</v>
      </c>
      <c r="F28" s="33" t="e">
        <f>AVERAGE(F12:F27)</f>
        <v>#DIV/0!</v>
      </c>
      <c r="G28" s="33">
        <f>SUM(G12:G27)</f>
        <v>0</v>
      </c>
    </row>
    <row r="29" spans="1:7" x14ac:dyDescent="0.2">
      <c r="G29" s="21"/>
    </row>
    <row r="30" spans="1:7" x14ac:dyDescent="0.2">
      <c r="A30" s="48" t="s">
        <v>37</v>
      </c>
      <c r="B30" s="48"/>
      <c r="C30" s="36">
        <f>SUM(C12:C27)</f>
        <v>22000000</v>
      </c>
      <c r="D30" s="36">
        <f>SUM(D12:D27)</f>
        <v>139050</v>
      </c>
      <c r="E30" s="36">
        <f>SUM(E12:E27)</f>
        <v>154709</v>
      </c>
      <c r="F30" s="37">
        <f>+(C30+D30)/E30</f>
        <v>143.10124168600404</v>
      </c>
      <c r="G30" s="37">
        <f>+SUM(G12:G16)</f>
        <v>0</v>
      </c>
    </row>
    <row r="31" spans="1:7" x14ac:dyDescent="0.2">
      <c r="F31" s="8"/>
      <c r="G31" s="21"/>
    </row>
    <row r="32" spans="1:7" x14ac:dyDescent="0.2">
      <c r="A32" s="48"/>
      <c r="B32" s="48"/>
      <c r="C32" s="36"/>
      <c r="D32" s="36"/>
      <c r="E32" s="36"/>
      <c r="F32" s="37"/>
      <c r="G32" s="21"/>
    </row>
    <row r="33" spans="1:7" x14ac:dyDescent="0.2">
      <c r="B33" s="10"/>
      <c r="C33" s="10"/>
      <c r="D33" s="10"/>
      <c r="E33" s="21"/>
      <c r="F33" s="21"/>
      <c r="G33" s="10"/>
    </row>
    <row r="34" spans="1:7" x14ac:dyDescent="0.2">
      <c r="B34" s="10"/>
      <c r="C34" s="10"/>
      <c r="D34" s="10"/>
      <c r="E34" s="10"/>
      <c r="F34" s="10"/>
      <c r="G34" s="42"/>
    </row>
    <row r="35" spans="1:7" x14ac:dyDescent="0.2">
      <c r="B35" s="10"/>
      <c r="C35" s="10"/>
      <c r="D35" s="10"/>
      <c r="E35" s="21"/>
      <c r="F35" s="21"/>
      <c r="G35" s="10"/>
    </row>
    <row r="36" spans="1:7" x14ac:dyDescent="0.2">
      <c r="A36" s="39" t="s">
        <v>0</v>
      </c>
      <c r="B36" s="39" t="s">
        <v>44</v>
      </c>
      <c r="C36" s="39" t="s">
        <v>1</v>
      </c>
      <c r="D36" s="39" t="s">
        <v>2</v>
      </c>
      <c r="E36" s="39" t="s">
        <v>4</v>
      </c>
      <c r="F36" s="39" t="s">
        <v>3</v>
      </c>
      <c r="G36" s="39" t="s">
        <v>40</v>
      </c>
    </row>
    <row r="37" spans="1:7" x14ac:dyDescent="0.2">
      <c r="A37" s="48"/>
      <c r="B37" s="48"/>
      <c r="C37" s="36">
        <f>+C30</f>
        <v>22000000</v>
      </c>
      <c r="D37" s="36">
        <f>+D30</f>
        <v>139050</v>
      </c>
      <c r="E37" s="36">
        <f>+E30</f>
        <v>154709</v>
      </c>
      <c r="F37" s="37">
        <f>+(C37+D37)/E37</f>
        <v>143.10124168600404</v>
      </c>
      <c r="G37" s="37">
        <f>+G30</f>
        <v>0</v>
      </c>
    </row>
  </sheetData>
  <mergeCells count="4">
    <mergeCell ref="A28:B28"/>
    <mergeCell ref="A30:B30"/>
    <mergeCell ref="A32:B32"/>
    <mergeCell ref="A37:B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I29" sqref="I29"/>
    </sheetView>
  </sheetViews>
  <sheetFormatPr baseColWidth="10" defaultRowHeight="12.75" x14ac:dyDescent="0.2"/>
  <cols>
    <col min="1" max="1" width="23.140625" customWidth="1"/>
    <col min="2" max="2" width="20.5703125" bestFit="1" customWidth="1"/>
    <col min="3" max="3" width="23.140625" bestFit="1" customWidth="1"/>
    <col min="4" max="4" width="24.85546875" bestFit="1" customWidth="1"/>
    <col min="5" max="5" width="19.85546875" bestFit="1" customWidth="1"/>
    <col min="6" max="6" width="19.5703125" bestFit="1" customWidth="1"/>
    <col min="7" max="7" width="25.42578125" bestFit="1" customWidth="1"/>
  </cols>
  <sheetData>
    <row r="1" spans="1:7" x14ac:dyDescent="0.2">
      <c r="A1" s="1"/>
      <c r="B1" s="1"/>
      <c r="C1" s="1"/>
      <c r="D1" s="1"/>
      <c r="E1" s="1"/>
      <c r="F1" s="1"/>
      <c r="G1" s="21"/>
    </row>
    <row r="2" spans="1:7" x14ac:dyDescent="0.2">
      <c r="A2" s="1"/>
      <c r="B2" s="1"/>
      <c r="C2" s="1"/>
      <c r="D2" s="1"/>
      <c r="E2" s="1"/>
      <c r="F2" s="1"/>
      <c r="G2" s="21"/>
    </row>
    <row r="3" spans="1:7" x14ac:dyDescent="0.2">
      <c r="A3" s="1"/>
      <c r="B3" s="1"/>
      <c r="C3" s="1"/>
      <c r="D3" s="1"/>
      <c r="E3" s="1"/>
      <c r="F3" s="1"/>
      <c r="G3" s="21"/>
    </row>
    <row r="4" spans="1:7" x14ac:dyDescent="0.2">
      <c r="A4" s="1"/>
      <c r="B4" s="1"/>
      <c r="C4" s="1"/>
      <c r="D4" s="1"/>
      <c r="E4" s="1"/>
      <c r="F4" s="1"/>
      <c r="G4" s="21"/>
    </row>
    <row r="5" spans="1:7" x14ac:dyDescent="0.2">
      <c r="A5" s="1"/>
      <c r="B5" s="1"/>
      <c r="C5" s="1"/>
      <c r="D5" s="1"/>
      <c r="E5" s="1"/>
      <c r="F5" s="1"/>
      <c r="G5" s="21"/>
    </row>
    <row r="6" spans="1:7" x14ac:dyDescent="0.2">
      <c r="A6" s="1"/>
      <c r="B6" s="1"/>
      <c r="C6" s="1"/>
      <c r="D6" s="1"/>
      <c r="E6" s="1"/>
      <c r="F6" s="1"/>
      <c r="G6" s="21"/>
    </row>
    <row r="7" spans="1:7" x14ac:dyDescent="0.2">
      <c r="A7" s="1"/>
      <c r="B7" s="1"/>
      <c r="C7" s="1"/>
      <c r="D7" s="1"/>
      <c r="E7" s="1"/>
      <c r="F7" s="1"/>
      <c r="G7" s="21"/>
    </row>
    <row r="8" spans="1:7" x14ac:dyDescent="0.2">
      <c r="G8" s="21"/>
    </row>
    <row r="9" spans="1:7" x14ac:dyDescent="0.2">
      <c r="G9" s="21"/>
    </row>
    <row r="10" spans="1:7" x14ac:dyDescent="0.2">
      <c r="G10" s="21"/>
    </row>
    <row r="11" spans="1:7" x14ac:dyDescent="0.2">
      <c r="A11" s="43" t="s">
        <v>41</v>
      </c>
      <c r="B11" s="43" t="s">
        <v>42</v>
      </c>
      <c r="C11" s="43" t="s">
        <v>1</v>
      </c>
      <c r="D11" s="43" t="s">
        <v>2</v>
      </c>
      <c r="E11" s="43" t="s">
        <v>4</v>
      </c>
      <c r="F11" s="43" t="s">
        <v>3</v>
      </c>
      <c r="G11" s="43" t="s">
        <v>40</v>
      </c>
    </row>
    <row r="12" spans="1:7" x14ac:dyDescent="0.2">
      <c r="A12" s="27">
        <v>1</v>
      </c>
      <c r="B12" s="28" t="s">
        <v>43</v>
      </c>
      <c r="C12" s="29">
        <f>(172*25)*1000</f>
        <v>4300000</v>
      </c>
      <c r="D12" s="29">
        <f>+(76*337.5)+(0*450)+(49*80)</f>
        <v>29570</v>
      </c>
      <c r="E12" s="29">
        <v>29355</v>
      </c>
      <c r="F12" s="31">
        <f>(C12+D12)/E12</f>
        <v>147.49003576903425</v>
      </c>
      <c r="G12" s="27">
        <v>0</v>
      </c>
    </row>
    <row r="13" spans="1:7" x14ac:dyDescent="0.2">
      <c r="A13" s="27">
        <v>2</v>
      </c>
      <c r="B13" s="30" t="s">
        <v>6</v>
      </c>
      <c r="C13" s="29">
        <f>(253*25)*1000</f>
        <v>6325000</v>
      </c>
      <c r="D13" s="29">
        <f>+(38*337.5)+(40*450)+(14*80)</f>
        <v>31945</v>
      </c>
      <c r="E13" s="29">
        <v>46100</v>
      </c>
      <c r="F13" s="31">
        <f>(C13+D13)/E13</f>
        <v>137.89468546637744</v>
      </c>
      <c r="G13" s="27">
        <v>462</v>
      </c>
    </row>
    <row r="14" spans="1:7" x14ac:dyDescent="0.2">
      <c r="A14" s="27">
        <v>3</v>
      </c>
      <c r="B14" s="30" t="s">
        <v>7</v>
      </c>
      <c r="C14" s="29">
        <f>(178*25)*1000</f>
        <v>4450000</v>
      </c>
      <c r="D14" s="29">
        <f>+(118*337.5)+(0*450)+(32*80)</f>
        <v>42385</v>
      </c>
      <c r="E14" s="29">
        <v>30998</v>
      </c>
      <c r="F14" s="31">
        <f>(C14+D14)/E14</f>
        <v>144.92499516097811</v>
      </c>
      <c r="G14" s="27">
        <v>0</v>
      </c>
    </row>
    <row r="15" spans="1:7" x14ac:dyDescent="0.2">
      <c r="A15" s="28">
        <v>4</v>
      </c>
      <c r="B15" s="30" t="s">
        <v>7</v>
      </c>
      <c r="C15" s="29">
        <f>(191*25)*1000</f>
        <v>4775000</v>
      </c>
      <c r="D15" s="29">
        <f>+(94*337.5)+(0*450)+(0*80)</f>
        <v>31725</v>
      </c>
      <c r="E15" s="29">
        <f>10196+15000</f>
        <v>25196</v>
      </c>
      <c r="F15" s="45">
        <f>(C15+D15)/E15</f>
        <v>190.77333703762503</v>
      </c>
      <c r="G15" s="27">
        <v>154</v>
      </c>
    </row>
    <row r="16" spans="1:7" x14ac:dyDescent="0.2">
      <c r="A16" s="28">
        <v>5</v>
      </c>
      <c r="B16" s="30" t="s">
        <v>8</v>
      </c>
      <c r="C16" s="29">
        <f>(184*25)*1000</f>
        <v>4600000</v>
      </c>
      <c r="D16" s="29">
        <f>+(101*337.5)+(4*450)+(9*80)</f>
        <v>36607.5</v>
      </c>
      <c r="E16" s="29">
        <v>40823</v>
      </c>
      <c r="F16" s="31">
        <f>(C16+D16)/E16</f>
        <v>113.57831369571075</v>
      </c>
      <c r="G16" s="27">
        <v>0</v>
      </c>
    </row>
    <row r="17" spans="1:7" x14ac:dyDescent="0.2">
      <c r="A17" s="28">
        <v>6</v>
      </c>
      <c r="B17" s="30" t="s">
        <v>9</v>
      </c>
      <c r="C17" s="29">
        <f>(271*25)*1000</f>
        <v>6775000</v>
      </c>
      <c r="D17" s="29">
        <f>+(88*337.5)+(0*450)+(5*80)</f>
        <v>30100</v>
      </c>
      <c r="E17" s="29">
        <v>45517</v>
      </c>
      <c r="F17" s="31">
        <f t="shared" ref="F17:F27" si="0">(C17+D17)/E17</f>
        <v>149.50677768745743</v>
      </c>
      <c r="G17" s="27">
        <v>0</v>
      </c>
    </row>
    <row r="18" spans="1:7" x14ac:dyDescent="0.2">
      <c r="A18" s="28">
        <v>7</v>
      </c>
      <c r="B18" s="30" t="s">
        <v>11</v>
      </c>
      <c r="C18" s="29">
        <f>(74*25)*1000</f>
        <v>1850000</v>
      </c>
      <c r="D18" s="29">
        <f>+(27*337.5)+(0*450)+(2*80)</f>
        <v>9272.5</v>
      </c>
      <c r="E18" s="29">
        <v>12963</v>
      </c>
      <c r="F18" s="31">
        <f t="shared" si="0"/>
        <v>143.42918305947697</v>
      </c>
      <c r="G18" s="27">
        <v>0</v>
      </c>
    </row>
    <row r="19" spans="1:7" x14ac:dyDescent="0.2">
      <c r="A19" s="28">
        <v>8</v>
      </c>
      <c r="B19" s="30" t="s">
        <v>11</v>
      </c>
      <c r="C19" s="29">
        <f>(215*25)*1000</f>
        <v>5375000</v>
      </c>
      <c r="D19" s="29">
        <f>+(74*337.5)+(0*450)+(4*80)</f>
        <v>25295</v>
      </c>
      <c r="E19" s="29">
        <v>43175</v>
      </c>
      <c r="F19" s="31">
        <f t="shared" si="0"/>
        <v>125.07921250723798</v>
      </c>
      <c r="G19" s="27">
        <v>0</v>
      </c>
    </row>
    <row r="20" spans="1:7" x14ac:dyDescent="0.2">
      <c r="A20" s="28">
        <v>9</v>
      </c>
      <c r="B20" s="30" t="s">
        <v>12</v>
      </c>
      <c r="C20" s="29">
        <f>(199*25)*1000</f>
        <v>4975000</v>
      </c>
      <c r="D20" s="29">
        <f>+(71*337.5)+(0*450)+(15*80)</f>
        <v>25162.5</v>
      </c>
      <c r="E20" s="29">
        <v>35450</v>
      </c>
      <c r="F20" s="31">
        <f t="shared" si="0"/>
        <v>141.04830747531736</v>
      </c>
      <c r="G20" s="27">
        <v>0</v>
      </c>
    </row>
    <row r="21" spans="1:7" x14ac:dyDescent="0.2">
      <c r="A21" s="28">
        <v>10</v>
      </c>
      <c r="B21" s="30" t="s">
        <v>32</v>
      </c>
      <c r="C21" s="29">
        <f>(174*25)*1000</f>
        <v>4350000</v>
      </c>
      <c r="D21" s="29">
        <f>+(91*337.5)+(0*450)+(14*80)</f>
        <v>31832.5</v>
      </c>
      <c r="E21" s="29">
        <v>30000</v>
      </c>
      <c r="F21" s="31">
        <f t="shared" si="0"/>
        <v>146.06108333333333</v>
      </c>
      <c r="G21" s="27">
        <v>0</v>
      </c>
    </row>
    <row r="22" spans="1:7" x14ac:dyDescent="0.2">
      <c r="A22" s="28">
        <v>11</v>
      </c>
      <c r="B22" s="30" t="s">
        <v>32</v>
      </c>
      <c r="C22" s="29">
        <f>(134*25)*1000</f>
        <v>3350000</v>
      </c>
      <c r="D22" s="29">
        <f>+(60*337.5)+(1*80)</f>
        <v>20330</v>
      </c>
      <c r="E22" s="29">
        <v>30784</v>
      </c>
      <c r="F22" s="31">
        <f t="shared" si="0"/>
        <v>109.48317307692308</v>
      </c>
      <c r="G22" s="27">
        <v>0</v>
      </c>
    </row>
    <row r="23" spans="1:7" x14ac:dyDescent="0.2">
      <c r="A23" s="28">
        <v>12</v>
      </c>
      <c r="B23" s="30" t="s">
        <v>34</v>
      </c>
      <c r="C23" s="29">
        <f>(248*25)*1000</f>
        <v>6200000</v>
      </c>
      <c r="D23" s="29">
        <f>+(100*337.5)+(0*80)</f>
        <v>33750</v>
      </c>
      <c r="E23" s="29">
        <v>45044</v>
      </c>
      <c r="F23" s="31">
        <f t="shared" si="0"/>
        <v>138.39246070508835</v>
      </c>
      <c r="G23" s="27">
        <v>0</v>
      </c>
    </row>
    <row r="24" spans="1:7" x14ac:dyDescent="0.2">
      <c r="A24" s="28">
        <v>13</v>
      </c>
      <c r="B24" s="30" t="s">
        <v>35</v>
      </c>
      <c r="C24" s="29">
        <f>(288*25)*1000</f>
        <v>7200000</v>
      </c>
      <c r="D24" s="29">
        <f>+(101*337.5)+(0*80)</f>
        <v>34087.5</v>
      </c>
      <c r="E24" s="29">
        <v>53670</v>
      </c>
      <c r="F24" s="31">
        <f t="shared" si="0"/>
        <v>134.78828954723309</v>
      </c>
      <c r="G24" s="27">
        <v>0</v>
      </c>
    </row>
    <row r="25" spans="1:7" x14ac:dyDescent="0.2">
      <c r="A25" s="28">
        <v>14</v>
      </c>
      <c r="B25" s="30" t="s">
        <v>36</v>
      </c>
      <c r="C25" s="29">
        <f>(316*25)*1000</f>
        <v>7900000</v>
      </c>
      <c r="D25" s="29">
        <f>+(102*337.5)</f>
        <v>34425</v>
      </c>
      <c r="E25" s="29">
        <v>59420</v>
      </c>
      <c r="F25" s="31">
        <f t="shared" si="0"/>
        <v>133.53121844496803</v>
      </c>
      <c r="G25" s="27">
        <v>0</v>
      </c>
    </row>
    <row r="26" spans="1:7" x14ac:dyDescent="0.2">
      <c r="A26" s="28">
        <v>15</v>
      </c>
      <c r="B26" s="30" t="s">
        <v>38</v>
      </c>
      <c r="C26" s="29">
        <f>(245*25)*1000</f>
        <v>6125000</v>
      </c>
      <c r="D26" s="29">
        <f>+(93*337.5)</f>
        <v>31387.5</v>
      </c>
      <c r="E26" s="29">
        <v>49028</v>
      </c>
      <c r="F26" s="31">
        <f t="shared" si="0"/>
        <v>125.56880762013543</v>
      </c>
      <c r="G26" s="27">
        <v>0</v>
      </c>
    </row>
    <row r="27" spans="1:7" x14ac:dyDescent="0.2">
      <c r="A27" s="28">
        <v>16</v>
      </c>
      <c r="B27" s="30" t="s">
        <v>38</v>
      </c>
      <c r="C27" s="29">
        <f>(313*25)*1000</f>
        <v>7825000</v>
      </c>
      <c r="D27" s="29">
        <f>+(137*337.5)</f>
        <v>46237.5</v>
      </c>
      <c r="E27" s="29">
        <v>58521</v>
      </c>
      <c r="F27" s="31">
        <f t="shared" si="0"/>
        <v>134.50278532492609</v>
      </c>
      <c r="G27" s="27">
        <v>0</v>
      </c>
    </row>
    <row r="28" spans="1:7" x14ac:dyDescent="0.2">
      <c r="A28" s="47" t="s">
        <v>33</v>
      </c>
      <c r="B28" s="47"/>
      <c r="C28" s="33">
        <f>AVERAGE(C12:C27)</f>
        <v>5398437.5</v>
      </c>
      <c r="D28" s="33">
        <f>AVERAGE(D12:D27)</f>
        <v>30882.03125</v>
      </c>
      <c r="E28" s="33">
        <f>SUM(E12:E27)</f>
        <v>636044</v>
      </c>
      <c r="F28" s="33">
        <f>AVERAGE(F12:F27)</f>
        <v>138.50329161948892</v>
      </c>
      <c r="G28" s="33">
        <f>SUM(G12:G27)</f>
        <v>616</v>
      </c>
    </row>
    <row r="29" spans="1:7" x14ac:dyDescent="0.2">
      <c r="G29" s="21"/>
    </row>
    <row r="30" spans="1:7" x14ac:dyDescent="0.2">
      <c r="A30" s="48" t="s">
        <v>37</v>
      </c>
      <c r="B30" s="48"/>
      <c r="C30" s="36">
        <f>SUM(C12:C27)</f>
        <v>86375000</v>
      </c>
      <c r="D30" s="36">
        <f>SUM(D12:D27)</f>
        <v>494112.5</v>
      </c>
      <c r="E30" s="36">
        <f>SUM(E12:E27)</f>
        <v>636044</v>
      </c>
      <c r="F30" s="37">
        <f>+(C30+D30)/E30</f>
        <v>136.57720613668238</v>
      </c>
      <c r="G30" s="37">
        <f>+SUM(G12:G16)</f>
        <v>616</v>
      </c>
    </row>
    <row r="31" spans="1:7" x14ac:dyDescent="0.2">
      <c r="F31" s="8"/>
      <c r="G31" s="21"/>
    </row>
    <row r="32" spans="1:7" x14ac:dyDescent="0.2">
      <c r="A32" s="48"/>
      <c r="B32" s="48"/>
      <c r="C32" s="36"/>
      <c r="D32" s="36"/>
      <c r="E32" s="36"/>
      <c r="F32" s="37"/>
      <c r="G32" s="21"/>
    </row>
    <row r="33" spans="1:7" x14ac:dyDescent="0.2">
      <c r="B33" s="10"/>
      <c r="C33" s="10"/>
      <c r="D33" s="10"/>
      <c r="E33" s="21"/>
      <c r="F33" s="21"/>
      <c r="G33" s="10"/>
    </row>
    <row r="34" spans="1:7" x14ac:dyDescent="0.2">
      <c r="B34" s="10"/>
      <c r="C34" s="10"/>
      <c r="D34" s="10"/>
      <c r="E34" s="10"/>
      <c r="F34" s="10"/>
      <c r="G34" s="42"/>
    </row>
    <row r="35" spans="1:7" x14ac:dyDescent="0.2">
      <c r="B35" s="10"/>
      <c r="C35" s="10"/>
      <c r="D35" s="10"/>
      <c r="E35" s="21"/>
      <c r="F35" s="21"/>
      <c r="G35" s="10"/>
    </row>
    <row r="36" spans="1:7" x14ac:dyDescent="0.2">
      <c r="A36" s="43" t="s">
        <v>0</v>
      </c>
      <c r="B36" s="43" t="s">
        <v>42</v>
      </c>
      <c r="C36" s="43" t="s">
        <v>1</v>
      </c>
      <c r="D36" s="43" t="s">
        <v>2</v>
      </c>
      <c r="E36" s="43" t="s">
        <v>4</v>
      </c>
      <c r="F36" s="43" t="s">
        <v>3</v>
      </c>
      <c r="G36" s="43" t="s">
        <v>40</v>
      </c>
    </row>
    <row r="37" spans="1:7" x14ac:dyDescent="0.2">
      <c r="A37" s="48"/>
      <c r="B37" s="48"/>
      <c r="C37" s="36">
        <f>+C30</f>
        <v>86375000</v>
      </c>
      <c r="D37" s="36">
        <f>+D30</f>
        <v>494112.5</v>
      </c>
      <c r="E37" s="36">
        <f>+E30</f>
        <v>636044</v>
      </c>
      <c r="F37" s="37">
        <f>+(C37+D37)/E37</f>
        <v>136.57720613668238</v>
      </c>
      <c r="G37" s="37">
        <f>+G30</f>
        <v>616</v>
      </c>
    </row>
  </sheetData>
  <mergeCells count="4">
    <mergeCell ref="A28:B28"/>
    <mergeCell ref="A30:B30"/>
    <mergeCell ref="A32:B32"/>
    <mergeCell ref="A37:B37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13" zoomScaleNormal="100" workbookViewId="0">
      <selection activeCell="E21" sqref="E21"/>
    </sheetView>
  </sheetViews>
  <sheetFormatPr baseColWidth="10" defaultRowHeight="12.75" x14ac:dyDescent="0.2"/>
  <cols>
    <col min="1" max="1" width="19.5703125" customWidth="1"/>
    <col min="2" max="2" width="20.7109375" bestFit="1" customWidth="1"/>
    <col min="3" max="3" width="23.140625" customWidth="1"/>
    <col min="4" max="4" width="24.85546875" customWidth="1"/>
    <col min="5" max="5" width="19.85546875" bestFit="1" customWidth="1"/>
    <col min="6" max="6" width="18.85546875" bestFit="1" customWidth="1"/>
    <col min="7" max="7" width="25.42578125" style="21" bestFit="1" customWidth="1"/>
  </cols>
  <sheetData>
    <row r="1" spans="1:9" x14ac:dyDescent="0.2">
      <c r="A1" s="1"/>
      <c r="B1" s="1"/>
      <c r="C1" s="1"/>
      <c r="D1" s="1"/>
      <c r="E1" s="1"/>
      <c r="F1" s="1"/>
    </row>
    <row r="2" spans="1:9" x14ac:dyDescent="0.2">
      <c r="A2" s="1"/>
      <c r="B2" s="1"/>
      <c r="C2" s="1"/>
      <c r="D2" s="1"/>
      <c r="E2" s="1"/>
      <c r="F2" s="1"/>
    </row>
    <row r="3" spans="1:9" x14ac:dyDescent="0.2">
      <c r="A3" s="1"/>
      <c r="B3" s="1"/>
      <c r="C3" s="1"/>
      <c r="D3" s="1"/>
      <c r="E3" s="1"/>
      <c r="F3" s="1"/>
    </row>
    <row r="4" spans="1:9" x14ac:dyDescent="0.2">
      <c r="A4" s="1"/>
      <c r="B4" s="1"/>
      <c r="C4" s="1"/>
      <c r="D4" s="1"/>
      <c r="E4" s="1"/>
      <c r="F4" s="1"/>
      <c r="H4" s="8"/>
    </row>
    <row r="5" spans="1:9" x14ac:dyDescent="0.2">
      <c r="A5" s="1"/>
      <c r="B5" s="1"/>
      <c r="C5" s="1"/>
      <c r="D5" s="1"/>
      <c r="E5" s="1"/>
      <c r="F5" s="1"/>
    </row>
    <row r="6" spans="1:9" x14ac:dyDescent="0.2">
      <c r="A6" s="1"/>
      <c r="B6" s="1"/>
      <c r="C6" s="1"/>
      <c r="D6" s="1"/>
      <c r="E6" s="1"/>
      <c r="F6" s="1"/>
    </row>
    <row r="7" spans="1:9" x14ac:dyDescent="0.2">
      <c r="A7" s="1"/>
      <c r="B7" s="1"/>
      <c r="C7" s="1"/>
      <c r="D7" s="1"/>
      <c r="E7" s="1"/>
      <c r="F7" s="1"/>
    </row>
    <row r="11" spans="1:9" ht="20.100000000000001" customHeight="1" x14ac:dyDescent="0.2">
      <c r="A11" s="34" t="s">
        <v>41</v>
      </c>
      <c r="B11" s="34" t="s">
        <v>31</v>
      </c>
      <c r="C11" s="34" t="s">
        <v>1</v>
      </c>
      <c r="D11" s="34" t="s">
        <v>2</v>
      </c>
      <c r="E11" s="34" t="s">
        <v>4</v>
      </c>
      <c r="F11" s="34" t="s">
        <v>3</v>
      </c>
      <c r="G11" s="38" t="s">
        <v>40</v>
      </c>
    </row>
    <row r="12" spans="1:9" x14ac:dyDescent="0.2">
      <c r="A12" s="27">
        <v>1</v>
      </c>
      <c r="B12" s="28" t="s">
        <v>5</v>
      </c>
      <c r="C12" s="29">
        <f>(189*25)*1000</f>
        <v>4725000</v>
      </c>
      <c r="D12" s="29">
        <f>+(0*337.5)+(121*450)+(1*80)</f>
        <v>54530</v>
      </c>
      <c r="E12" s="29">
        <v>35578</v>
      </c>
      <c r="F12" s="31">
        <f>(C12+D12)/E12</f>
        <v>134.33947945359492</v>
      </c>
      <c r="G12" s="40"/>
      <c r="I12" s="8"/>
    </row>
    <row r="13" spans="1:9" x14ac:dyDescent="0.2">
      <c r="A13" s="27">
        <v>2</v>
      </c>
      <c r="B13" s="30" t="s">
        <v>6</v>
      </c>
      <c r="C13" s="29">
        <f>(167*25)*1000</f>
        <v>4175000</v>
      </c>
      <c r="D13" s="29">
        <f>+(44*337.5)+(58*450)+(56*80)</f>
        <v>45430</v>
      </c>
      <c r="E13" s="29">
        <v>22625</v>
      </c>
      <c r="F13" s="31">
        <f t="shared" ref="F13:F14" si="0">(C13+D13)/E13</f>
        <v>186.53834254143646</v>
      </c>
      <c r="G13" s="40"/>
      <c r="H13" s="11"/>
      <c r="I13" s="8"/>
    </row>
    <row r="14" spans="1:9" x14ac:dyDescent="0.2">
      <c r="A14" s="27">
        <v>3</v>
      </c>
      <c r="B14" s="30" t="s">
        <v>6</v>
      </c>
      <c r="C14" s="29">
        <f>(245*25)*1000</f>
        <v>6125000</v>
      </c>
      <c r="D14" s="29">
        <f>+(7*337.5)+(73*450)+(1*80)</f>
        <v>35292.5</v>
      </c>
      <c r="E14" s="29">
        <v>35389</v>
      </c>
      <c r="F14" s="31">
        <f t="shared" si="0"/>
        <v>174.07365282997543</v>
      </c>
      <c r="G14" s="40"/>
      <c r="I14" s="8"/>
    </row>
    <row r="15" spans="1:9" x14ac:dyDescent="0.2">
      <c r="A15" s="28">
        <v>4</v>
      </c>
      <c r="B15" s="30" t="s">
        <v>7</v>
      </c>
      <c r="C15" s="29">
        <f>(188*25)*1000</f>
        <v>4700000</v>
      </c>
      <c r="D15" s="29">
        <f>+(3*337.5)+(82*450)+(0*80)</f>
        <v>37912.5</v>
      </c>
      <c r="E15" s="29">
        <v>30950</v>
      </c>
      <c r="F15" s="32">
        <f t="shared" ref="F15:F23" si="1">(C15+D15)/E15</f>
        <v>153.08279483037157</v>
      </c>
      <c r="G15" s="40"/>
    </row>
    <row r="16" spans="1:9" x14ac:dyDescent="0.2">
      <c r="A16" s="28">
        <v>5</v>
      </c>
      <c r="B16" s="30" t="s">
        <v>8</v>
      </c>
      <c r="C16" s="29">
        <f>(294*25)*1000</f>
        <v>7350000</v>
      </c>
      <c r="D16" s="29">
        <f>+(47*337.5)+(72*450)+(1*80)</f>
        <v>48342.5</v>
      </c>
      <c r="E16" s="29">
        <v>46684</v>
      </c>
      <c r="F16" s="32">
        <f t="shared" si="1"/>
        <v>158.47704781081313</v>
      </c>
      <c r="G16" s="40"/>
    </row>
    <row r="17" spans="1:9" x14ac:dyDescent="0.2">
      <c r="A17" s="28">
        <v>6</v>
      </c>
      <c r="B17" s="30" t="s">
        <v>9</v>
      </c>
      <c r="C17" s="29">
        <f>+(87*25)*1000</f>
        <v>2175000</v>
      </c>
      <c r="D17" s="29">
        <f>+(0*337.5)+(46*450)+(0*80)</f>
        <v>20700</v>
      </c>
      <c r="E17" s="29">
        <v>13900</v>
      </c>
      <c r="F17" s="32">
        <f>(C17+D17)/E17</f>
        <v>157.96402877697841</v>
      </c>
      <c r="G17" s="41"/>
      <c r="I17" s="26"/>
    </row>
    <row r="18" spans="1:9" x14ac:dyDescent="0.2">
      <c r="A18" s="28">
        <v>7</v>
      </c>
      <c r="B18" s="30" t="s">
        <v>9</v>
      </c>
      <c r="C18" s="29">
        <f>+(199*25)*1000</f>
        <v>4975000</v>
      </c>
      <c r="D18" s="29">
        <f>+(0*337.5)+(66*450)+(10*80)</f>
        <v>30500</v>
      </c>
      <c r="E18" s="29">
        <v>41500</v>
      </c>
      <c r="F18" s="32">
        <f t="shared" si="1"/>
        <v>120.6144578313253</v>
      </c>
      <c r="G18" s="41"/>
    </row>
    <row r="19" spans="1:9" x14ac:dyDescent="0.2">
      <c r="A19" s="28">
        <v>8</v>
      </c>
      <c r="B19" s="30" t="s">
        <v>11</v>
      </c>
      <c r="C19" s="29">
        <f>+(255*25)*1000</f>
        <v>6375000</v>
      </c>
      <c r="D19" s="29">
        <f>+(10*337.5)+(109*450)+(0*80)</f>
        <v>52425</v>
      </c>
      <c r="E19" s="29">
        <v>46474</v>
      </c>
      <c r="F19" s="32">
        <f t="shared" si="1"/>
        <v>138.30152343245686</v>
      </c>
      <c r="G19" s="41"/>
    </row>
    <row r="20" spans="1:9" x14ac:dyDescent="0.2">
      <c r="A20" s="28">
        <v>9</v>
      </c>
      <c r="B20" s="30" t="s">
        <v>12</v>
      </c>
      <c r="C20" s="29">
        <f>+(237*25)*1000</f>
        <v>5925000</v>
      </c>
      <c r="D20" s="29">
        <f>+(22*337.5)+(66*450)+(29*80)</f>
        <v>39445</v>
      </c>
      <c r="E20" s="29">
        <v>35543</v>
      </c>
      <c r="F20" s="32">
        <f t="shared" si="1"/>
        <v>167.8092732746251</v>
      </c>
      <c r="G20" s="41"/>
    </row>
    <row r="21" spans="1:9" x14ac:dyDescent="0.2">
      <c r="A21" s="28">
        <v>10</v>
      </c>
      <c r="B21" s="30" t="s">
        <v>12</v>
      </c>
      <c r="C21" s="29">
        <f>+(40*25)*1000</f>
        <v>1000000</v>
      </c>
      <c r="D21" s="29">
        <f>+(40*337.5)+(0*450)+(0*80)</f>
        <v>13500</v>
      </c>
      <c r="E21" s="29">
        <v>9781</v>
      </c>
      <c r="F21" s="32">
        <f t="shared" si="1"/>
        <v>103.61926183416828</v>
      </c>
      <c r="G21" s="41"/>
    </row>
    <row r="22" spans="1:9" x14ac:dyDescent="0.2">
      <c r="A22" s="28">
        <v>11</v>
      </c>
      <c r="B22" s="30" t="s">
        <v>32</v>
      </c>
      <c r="C22" s="29">
        <f>+(176*25)*1000</f>
        <v>4400000</v>
      </c>
      <c r="D22" s="29">
        <f>+(4*337.5)+(93*450)+(0*80)</f>
        <v>43200</v>
      </c>
      <c r="E22" s="29">
        <v>32599</v>
      </c>
      <c r="F22" s="32">
        <f t="shared" si="1"/>
        <v>136.29865946808184</v>
      </c>
      <c r="G22" s="41"/>
    </row>
    <row r="23" spans="1:9" x14ac:dyDescent="0.2">
      <c r="A23" s="28">
        <v>12</v>
      </c>
      <c r="B23" s="30" t="s">
        <v>32</v>
      </c>
      <c r="C23" s="29">
        <f>+(130*25)*1000</f>
        <v>3250000</v>
      </c>
      <c r="D23" s="29">
        <f>+(2*337.5)+(45*450)+(0*80)</f>
        <v>20925</v>
      </c>
      <c r="E23" s="29">
        <v>21329</v>
      </c>
      <c r="F23" s="32">
        <f t="shared" si="1"/>
        <v>153.355759763702</v>
      </c>
      <c r="G23" s="41"/>
    </row>
    <row r="24" spans="1:9" x14ac:dyDescent="0.2">
      <c r="A24" s="28">
        <v>13</v>
      </c>
      <c r="B24" s="30" t="s">
        <v>34</v>
      </c>
      <c r="C24" s="29">
        <f>+(58*25)*1000</f>
        <v>1450000</v>
      </c>
      <c r="D24" s="29">
        <f>+(4*337.5)+(25*450)+(0*80)</f>
        <v>12600</v>
      </c>
      <c r="E24" s="29">
        <v>10037</v>
      </c>
      <c r="F24" s="32">
        <f t="shared" ref="F24:F30" si="2">(C24+D24)/E24</f>
        <v>145.72083291820266</v>
      </c>
      <c r="G24" s="41"/>
    </row>
    <row r="25" spans="1:9" x14ac:dyDescent="0.2">
      <c r="A25" s="28">
        <v>14</v>
      </c>
      <c r="B25" s="30" t="s">
        <v>35</v>
      </c>
      <c r="C25" s="29">
        <f>+(102*25)*1000</f>
        <v>2550000</v>
      </c>
      <c r="D25" s="29">
        <f>+(0*337.5)+(52*450)+(5*80)</f>
        <v>23800</v>
      </c>
      <c r="E25" s="29">
        <v>18495</v>
      </c>
      <c r="F25" s="32">
        <f t="shared" si="2"/>
        <v>139.16193565828601</v>
      </c>
      <c r="G25" s="41"/>
    </row>
    <row r="26" spans="1:9" x14ac:dyDescent="0.2">
      <c r="A26" s="28">
        <v>15</v>
      </c>
      <c r="B26" s="30" t="s">
        <v>35</v>
      </c>
      <c r="C26" s="29">
        <f>+(161*25)*1000</f>
        <v>4025000</v>
      </c>
      <c r="D26" s="29">
        <f>+(54*337.5)+(30*450)+(1*80)</f>
        <v>31805</v>
      </c>
      <c r="E26" s="29">
        <v>30068</v>
      </c>
      <c r="F26" s="32">
        <f t="shared" si="2"/>
        <v>134.92101237195689</v>
      </c>
      <c r="G26" s="41"/>
    </row>
    <row r="27" spans="1:9" x14ac:dyDescent="0.2">
      <c r="A27" s="28">
        <v>16</v>
      </c>
      <c r="B27" s="30" t="s">
        <v>36</v>
      </c>
      <c r="C27" s="29">
        <f>+(198*25)*1000</f>
        <v>4950000</v>
      </c>
      <c r="D27" s="29">
        <f>+(42*337.5)+(33*450)+(23*80)</f>
        <v>30865</v>
      </c>
      <c r="E27" s="29">
        <v>32025</v>
      </c>
      <c r="F27" s="32">
        <f t="shared" si="2"/>
        <v>155.53052302888369</v>
      </c>
      <c r="G27" s="41"/>
    </row>
    <row r="28" spans="1:9" x14ac:dyDescent="0.2">
      <c r="A28" s="28">
        <v>17</v>
      </c>
      <c r="B28" s="30" t="s">
        <v>38</v>
      </c>
      <c r="C28" s="29">
        <f>+(32*25)*1000</f>
        <v>800000</v>
      </c>
      <c r="D28" s="29">
        <f>+(16*337.5)+(0*450)+(0*80)</f>
        <v>5400</v>
      </c>
      <c r="E28" s="29">
        <v>5516</v>
      </c>
      <c r="F28" s="32">
        <f t="shared" si="2"/>
        <v>146.01160261058737</v>
      </c>
      <c r="G28" s="41"/>
    </row>
    <row r="29" spans="1:9" x14ac:dyDescent="0.2">
      <c r="A29" s="28">
        <v>18</v>
      </c>
      <c r="B29" s="30" t="s">
        <v>39</v>
      </c>
      <c r="C29" s="29">
        <f>+(132*25)*1000</f>
        <v>3300000</v>
      </c>
      <c r="D29" s="29">
        <f>+(85*337.5)+(0*450)+(4*80)</f>
        <v>29007.5</v>
      </c>
      <c r="E29" s="29">
        <v>22300</v>
      </c>
      <c r="F29" s="32">
        <f t="shared" si="2"/>
        <v>149.28284753363229</v>
      </c>
      <c r="G29" s="41"/>
    </row>
    <row r="30" spans="1:9" x14ac:dyDescent="0.2">
      <c r="A30" s="28">
        <v>19</v>
      </c>
      <c r="B30" s="30" t="s">
        <v>38</v>
      </c>
      <c r="C30" s="29">
        <f>+(315*25)*1000</f>
        <v>7875000</v>
      </c>
      <c r="D30" s="29">
        <f>+(116*337.5)+(13*450)+(0*80)</f>
        <v>45000</v>
      </c>
      <c r="E30" s="29">
        <v>52000</v>
      </c>
      <c r="F30" s="32">
        <f t="shared" si="2"/>
        <v>152.30769230769232</v>
      </c>
      <c r="G30" s="32">
        <v>308</v>
      </c>
    </row>
    <row r="31" spans="1:9" ht="20.100000000000001" customHeight="1" x14ac:dyDescent="0.2">
      <c r="A31" s="47" t="s">
        <v>33</v>
      </c>
      <c r="B31" s="47"/>
      <c r="C31" s="33">
        <f>AVERAGE(C13:C30)</f>
        <v>4188888.888888889</v>
      </c>
      <c r="D31" s="33">
        <f>AVERAGE(D12:D30)</f>
        <v>32667.36842105263</v>
      </c>
      <c r="E31" s="33">
        <f>AVERAGE(E12:E30)</f>
        <v>28568.052631578947</v>
      </c>
      <c r="F31" s="33">
        <f>AVERAGE(F12:F30)</f>
        <v>147.75845938298795</v>
      </c>
      <c r="G31" s="33">
        <f>AVERAGE(G12:G30)</f>
        <v>308</v>
      </c>
    </row>
    <row r="33" spans="1:7" ht="20.100000000000001" customHeight="1" x14ac:dyDescent="0.2">
      <c r="A33" s="48" t="s">
        <v>37</v>
      </c>
      <c r="B33" s="48"/>
      <c r="C33" s="36">
        <f>SUM(C12:C30)</f>
        <v>80125000</v>
      </c>
      <c r="D33" s="36">
        <f>SUM(D12:D30)</f>
        <v>620680</v>
      </c>
      <c r="E33" s="36">
        <f>SUM(E12:E30)</f>
        <v>542793</v>
      </c>
      <c r="F33" s="37">
        <f>+(C33+D33)/E33</f>
        <v>148.75961922869308</v>
      </c>
      <c r="G33" s="37">
        <f>+SUM(G12:G30)</f>
        <v>308</v>
      </c>
    </row>
    <row r="34" spans="1:7" x14ac:dyDescent="0.2">
      <c r="F34" s="8"/>
    </row>
    <row r="35" spans="1:7" ht="20.100000000000001" customHeight="1" x14ac:dyDescent="0.2">
      <c r="A35" s="48"/>
      <c r="B35" s="48"/>
      <c r="C35" s="36"/>
      <c r="D35" s="36"/>
      <c r="E35" s="36"/>
      <c r="F35" s="37"/>
    </row>
    <row r="36" spans="1:7" s="10" customFormat="1" x14ac:dyDescent="0.2">
      <c r="A36"/>
      <c r="E36" s="21"/>
      <c r="F36" s="21"/>
    </row>
    <row r="37" spans="1:7" s="10" customFormat="1" ht="12.75" customHeight="1" x14ac:dyDescent="0.2">
      <c r="A37"/>
      <c r="E37" s="21"/>
      <c r="F37" s="21"/>
    </row>
    <row r="38" spans="1:7" s="10" customFormat="1" x14ac:dyDescent="0.2">
      <c r="A38"/>
      <c r="E38" s="21"/>
      <c r="F38" s="21"/>
    </row>
    <row r="39" spans="1:7" ht="20.100000000000001" customHeight="1" x14ac:dyDescent="0.2">
      <c r="A39" s="35" t="s">
        <v>0</v>
      </c>
      <c r="B39" s="35" t="s">
        <v>31</v>
      </c>
      <c r="C39" s="35" t="s">
        <v>1</v>
      </c>
      <c r="D39" s="35" t="s">
        <v>2</v>
      </c>
      <c r="E39" s="35" t="s">
        <v>4</v>
      </c>
      <c r="F39" s="35" t="s">
        <v>3</v>
      </c>
      <c r="G39" s="38" t="s">
        <v>40</v>
      </c>
    </row>
    <row r="40" spans="1:7" ht="20.100000000000001" customHeight="1" x14ac:dyDescent="0.2">
      <c r="A40" s="48"/>
      <c r="B40" s="48"/>
      <c r="C40" s="36">
        <f>+C33</f>
        <v>80125000</v>
      </c>
      <c r="D40" s="36">
        <f>+D33</f>
        <v>620680</v>
      </c>
      <c r="E40" s="36">
        <f>+E33</f>
        <v>542793</v>
      </c>
      <c r="F40" s="37">
        <f>+(C40+D40)/E40</f>
        <v>148.75961922869308</v>
      </c>
      <c r="G40" s="37">
        <f>+G33</f>
        <v>308</v>
      </c>
    </row>
    <row r="41" spans="1:7" s="10" customFormat="1" x14ac:dyDescent="0.2">
      <c r="A41"/>
      <c r="E41" s="21"/>
      <c r="F41" s="21"/>
    </row>
    <row r="42" spans="1:7" s="10" customFormat="1" x14ac:dyDescent="0.2">
      <c r="A42"/>
    </row>
    <row r="43" spans="1:7" s="10" customFormat="1" x14ac:dyDescent="0.2">
      <c r="A43"/>
    </row>
    <row r="44" spans="1:7" s="10" customFormat="1" x14ac:dyDescent="0.2">
      <c r="A44"/>
    </row>
    <row r="45" spans="1:7" s="10" customFormat="1" x14ac:dyDescent="0.2">
      <c r="A45"/>
    </row>
    <row r="46" spans="1:7" s="10" customFormat="1" x14ac:dyDescent="0.2">
      <c r="A46"/>
    </row>
    <row r="47" spans="1:7" s="10" customFormat="1" x14ac:dyDescent="0.2">
      <c r="A47"/>
    </row>
    <row r="48" spans="1:7" s="10" customFormat="1" x14ac:dyDescent="0.2">
      <c r="A48"/>
    </row>
    <row r="49" spans="1:7" s="10" customFormat="1" x14ac:dyDescent="0.2">
      <c r="A49"/>
    </row>
    <row r="50" spans="1:7" s="10" customFormat="1" x14ac:dyDescent="0.2">
      <c r="A50"/>
    </row>
    <row r="51" spans="1:7" s="10" customFormat="1" x14ac:dyDescent="0.2">
      <c r="A51"/>
    </row>
    <row r="52" spans="1:7" s="10" customFormat="1" x14ac:dyDescent="0.2">
      <c r="A52"/>
    </row>
    <row r="53" spans="1:7" s="10" customFormat="1" x14ac:dyDescent="0.2">
      <c r="A53"/>
    </row>
    <row r="54" spans="1:7" s="10" customFormat="1" x14ac:dyDescent="0.2"/>
    <row r="55" spans="1:7" s="10" customFormat="1" x14ac:dyDescent="0.2"/>
    <row r="56" spans="1:7" s="10" customFormat="1" x14ac:dyDescent="0.2"/>
    <row r="57" spans="1:7" s="10" customFormat="1" x14ac:dyDescent="0.2"/>
    <row r="58" spans="1:7" s="10" customFormat="1" x14ac:dyDescent="0.2"/>
    <row r="59" spans="1:7" s="10" customFormat="1" x14ac:dyDescent="0.2"/>
    <row r="60" spans="1:7" s="10" customFormat="1" x14ac:dyDescent="0.2">
      <c r="G60" s="25"/>
    </row>
    <row r="61" spans="1:7" s="10" customFormat="1" x14ac:dyDescent="0.2">
      <c r="G61" s="25"/>
    </row>
    <row r="62" spans="1:7" s="10" customFormat="1" x14ac:dyDescent="0.2">
      <c r="G62" s="25"/>
    </row>
  </sheetData>
  <mergeCells count="4">
    <mergeCell ref="A31:B31"/>
    <mergeCell ref="A33:B33"/>
    <mergeCell ref="A35:B35"/>
    <mergeCell ref="A40:B40"/>
  </mergeCells>
  <phoneticPr fontId="2" type="noConversion"/>
  <pageMargins left="0.75" right="0.75" top="1" bottom="1" header="0" footer="0"/>
  <pageSetup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D15" sqref="D15"/>
    </sheetView>
  </sheetViews>
  <sheetFormatPr baseColWidth="10" defaultRowHeight="12.75" x14ac:dyDescent="0.2"/>
  <cols>
    <col min="1" max="1" width="21.28515625" bestFit="1" customWidth="1"/>
    <col min="2" max="2" width="23.140625" customWidth="1"/>
    <col min="3" max="3" width="24.85546875" customWidth="1"/>
    <col min="4" max="4" width="24.140625" bestFit="1" customWidth="1"/>
    <col min="5" max="5" width="21.85546875" customWidth="1"/>
  </cols>
  <sheetData>
    <row r="1" spans="1:5" x14ac:dyDescent="0.2">
      <c r="A1" s="1"/>
      <c r="B1" s="1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1"/>
      <c r="B3" s="1"/>
      <c r="C3" s="1"/>
      <c r="D3" s="1"/>
      <c r="E3" s="1"/>
    </row>
    <row r="4" spans="1:5" x14ac:dyDescent="0.2">
      <c r="A4" s="1"/>
      <c r="B4" s="1"/>
      <c r="C4" s="1"/>
      <c r="D4" s="1"/>
      <c r="E4" s="1"/>
    </row>
    <row r="5" spans="1:5" x14ac:dyDescent="0.2">
      <c r="A5" s="1"/>
      <c r="B5" s="1"/>
      <c r="C5" s="1"/>
      <c r="D5" s="1"/>
      <c r="E5" s="1"/>
    </row>
    <row r="6" spans="1:5" x14ac:dyDescent="0.2">
      <c r="A6" s="1"/>
      <c r="B6" s="1"/>
      <c r="C6" s="1"/>
      <c r="D6" s="1"/>
      <c r="E6" s="1"/>
    </row>
    <row r="7" spans="1:5" x14ac:dyDescent="0.2">
      <c r="A7" s="1"/>
      <c r="B7" s="1"/>
      <c r="C7" s="1"/>
      <c r="D7" s="1"/>
      <c r="E7" s="1"/>
    </row>
    <row r="11" spans="1:5" ht="20.25" customHeight="1" x14ac:dyDescent="0.2">
      <c r="A11" s="2" t="s">
        <v>10</v>
      </c>
      <c r="B11" s="2" t="s">
        <v>1</v>
      </c>
      <c r="C11" s="2" t="s">
        <v>2</v>
      </c>
      <c r="D11" s="2" t="s">
        <v>4</v>
      </c>
      <c r="E11" s="2" t="s">
        <v>3</v>
      </c>
    </row>
    <row r="12" spans="1:5" ht="33" customHeight="1" x14ac:dyDescent="0.2">
      <c r="A12" s="3" t="s">
        <v>5</v>
      </c>
      <c r="B12" s="4">
        <f>(131*25)*1000</f>
        <v>3275000</v>
      </c>
      <c r="C12" s="4"/>
      <c r="D12" s="5">
        <v>23454</v>
      </c>
      <c r="E12" s="6">
        <f t="shared" ref="E12:E18" si="0">(B12+C12)/D12</f>
        <v>139.63503027202182</v>
      </c>
    </row>
    <row r="13" spans="1:5" ht="33" customHeight="1" x14ac:dyDescent="0.2">
      <c r="A13" s="3" t="s">
        <v>6</v>
      </c>
      <c r="B13" s="4">
        <f>(292*25)*1000</f>
        <v>7300000</v>
      </c>
      <c r="C13" s="4"/>
      <c r="D13" s="5">
        <v>43991</v>
      </c>
      <c r="E13" s="6">
        <f t="shared" si="0"/>
        <v>165.94303380236866</v>
      </c>
    </row>
    <row r="14" spans="1:5" ht="33" customHeight="1" x14ac:dyDescent="0.2">
      <c r="A14" s="3" t="s">
        <v>7</v>
      </c>
      <c r="B14" s="7">
        <f>7500+5625</f>
        <v>13125</v>
      </c>
      <c r="C14" s="7"/>
      <c r="D14" s="7">
        <f>41.424+35.064</f>
        <v>76.488</v>
      </c>
      <c r="E14" s="6">
        <f t="shared" si="0"/>
        <v>171.59554439912142</v>
      </c>
    </row>
    <row r="15" spans="1:5" ht="30" customHeight="1" x14ac:dyDescent="0.2">
      <c r="A15" s="3" t="s">
        <v>8</v>
      </c>
      <c r="B15" s="4">
        <f>(183*25)*1000</f>
        <v>4575000</v>
      </c>
      <c r="C15" s="4"/>
      <c r="D15" s="5">
        <f>34021-7000</f>
        <v>27021</v>
      </c>
      <c r="E15" s="6">
        <f t="shared" si="0"/>
        <v>169.31275674475407</v>
      </c>
    </row>
    <row r="16" spans="1:5" ht="30" customHeight="1" x14ac:dyDescent="0.2">
      <c r="A16" s="3" t="s">
        <v>9</v>
      </c>
      <c r="B16" s="4">
        <f>(199*25)*1000</f>
        <v>4975000</v>
      </c>
      <c r="C16" s="4"/>
      <c r="D16" s="5">
        <v>35327</v>
      </c>
      <c r="E16" s="6">
        <f t="shared" si="0"/>
        <v>140.82712939111727</v>
      </c>
    </row>
    <row r="17" spans="1:8" ht="30" customHeight="1" x14ac:dyDescent="0.2">
      <c r="A17" s="3" t="s">
        <v>11</v>
      </c>
      <c r="B17" s="4">
        <f>(152*25)*1000</f>
        <v>3800000</v>
      </c>
      <c r="C17" s="4"/>
      <c r="D17" s="5">
        <v>29915</v>
      </c>
      <c r="E17" s="6">
        <f t="shared" si="0"/>
        <v>127.02657529667391</v>
      </c>
    </row>
    <row r="18" spans="1:8" ht="30" customHeight="1" x14ac:dyDescent="0.2">
      <c r="A18" s="3" t="s">
        <v>12</v>
      </c>
      <c r="B18" s="4">
        <f>(187*25)*1000</f>
        <v>4675000</v>
      </c>
      <c r="C18" s="4"/>
      <c r="D18" s="5">
        <v>42167</v>
      </c>
      <c r="E18" s="6">
        <f t="shared" si="0"/>
        <v>110.8686887850689</v>
      </c>
    </row>
    <row r="19" spans="1:8" ht="16.5" customHeight="1" x14ac:dyDescent="0.2">
      <c r="B19" s="8"/>
      <c r="C19" s="8"/>
      <c r="D19" s="8"/>
      <c r="E19" s="9"/>
    </row>
    <row r="20" spans="1:8" ht="16.5" customHeight="1" x14ac:dyDescent="0.2">
      <c r="B20" s="8"/>
      <c r="C20" s="8"/>
      <c r="D20" s="8"/>
      <c r="E20" s="9"/>
    </row>
    <row r="21" spans="1:8" x14ac:dyDescent="0.2">
      <c r="B21" s="13"/>
      <c r="C21" s="13"/>
      <c r="D21" s="13"/>
      <c r="E21" s="13"/>
      <c r="F21" s="13"/>
      <c r="G21" s="22"/>
      <c r="H21" s="13"/>
    </row>
    <row r="22" spans="1:8" x14ac:dyDescent="0.2">
      <c r="B22" s="13"/>
      <c r="C22" s="14">
        <v>303</v>
      </c>
      <c r="D22" s="14">
        <f>SUM('Consumos Explosivos 2012'!D12:D14)</f>
        <v>135252.5</v>
      </c>
      <c r="E22" s="14">
        <f>SUM('Consumos Explosivos 2012'!E12:E14)</f>
        <v>93592</v>
      </c>
      <c r="F22" s="14">
        <f>(C22+D22)/E22</f>
        <v>1.4483663133601163</v>
      </c>
      <c r="G22" s="22"/>
      <c r="H22" s="13"/>
    </row>
    <row r="23" spans="1:8" x14ac:dyDescent="0.2">
      <c r="B23" s="13"/>
      <c r="C23" s="13"/>
      <c r="D23" s="13"/>
      <c r="E23" s="13"/>
      <c r="F23" s="13"/>
      <c r="G23" s="23"/>
      <c r="H23" s="15"/>
    </row>
    <row r="24" spans="1:8" x14ac:dyDescent="0.2">
      <c r="B24" s="13"/>
      <c r="C24" s="13">
        <f>6225/25</f>
        <v>249</v>
      </c>
      <c r="D24" s="13"/>
      <c r="E24" s="13"/>
      <c r="F24" s="13"/>
      <c r="G24" s="23"/>
      <c r="H24" s="15"/>
    </row>
    <row r="25" spans="1:8" x14ac:dyDescent="0.2">
      <c r="B25" s="12" t="s">
        <v>13</v>
      </c>
      <c r="C25" s="16">
        <v>73338.676424329999</v>
      </c>
      <c r="D25" s="13"/>
      <c r="E25" s="13"/>
      <c r="F25" s="13"/>
      <c r="G25" s="23"/>
      <c r="H25" s="15"/>
    </row>
    <row r="26" spans="1:8" x14ac:dyDescent="0.2">
      <c r="B26" s="12" t="s">
        <v>14</v>
      </c>
      <c r="C26" s="16">
        <v>74179.794390130002</v>
      </c>
      <c r="D26" s="13"/>
      <c r="E26" s="13"/>
      <c r="F26" s="13"/>
      <c r="G26" s="23"/>
      <c r="H26" s="15"/>
    </row>
    <row r="27" spans="1:8" x14ac:dyDescent="0.2">
      <c r="B27" s="12" t="s">
        <v>15</v>
      </c>
      <c r="C27" s="16">
        <v>81352.788038790008</v>
      </c>
      <c r="D27" s="13"/>
      <c r="E27" s="13"/>
      <c r="F27" s="13"/>
      <c r="G27" s="23"/>
      <c r="H27" s="15"/>
    </row>
    <row r="28" spans="1:8" x14ac:dyDescent="0.2">
      <c r="B28" s="12" t="s">
        <v>16</v>
      </c>
      <c r="C28" s="16">
        <v>37164.583220970002</v>
      </c>
      <c r="D28" s="13"/>
      <c r="E28" s="13"/>
      <c r="F28" s="13"/>
      <c r="G28" s="23"/>
      <c r="H28" s="15"/>
    </row>
    <row r="29" spans="1:8" x14ac:dyDescent="0.2">
      <c r="B29" s="12" t="s">
        <v>17</v>
      </c>
      <c r="C29" s="16">
        <v>80491.459994610006</v>
      </c>
      <c r="D29" s="13"/>
      <c r="E29" s="13"/>
      <c r="F29" s="13"/>
      <c r="G29" s="23"/>
      <c r="H29" s="15"/>
    </row>
    <row r="30" spans="1:8" x14ac:dyDescent="0.2">
      <c r="B30" s="12" t="s">
        <v>18</v>
      </c>
      <c r="C30" s="16">
        <v>63442.257638730007</v>
      </c>
      <c r="D30" s="13"/>
      <c r="E30" s="13"/>
      <c r="F30" s="13"/>
      <c r="G30" s="23"/>
      <c r="H30" s="15"/>
    </row>
    <row r="31" spans="1:8" x14ac:dyDescent="0.2">
      <c r="B31" s="12" t="s">
        <v>19</v>
      </c>
      <c r="C31" s="16">
        <v>82330.668301810016</v>
      </c>
      <c r="D31" s="13"/>
      <c r="E31" s="13"/>
      <c r="F31" s="13"/>
      <c r="G31" s="23"/>
      <c r="H31" s="15"/>
    </row>
    <row r="32" spans="1:8" x14ac:dyDescent="0.2">
      <c r="B32" s="12" t="s">
        <v>20</v>
      </c>
      <c r="C32" s="16">
        <v>81581.913524890013</v>
      </c>
      <c r="D32" s="15"/>
      <c r="E32" s="17">
        <f>SUM(C25:C32)</f>
        <v>573882.14153426001</v>
      </c>
      <c r="F32" s="13" t="s">
        <v>28</v>
      </c>
      <c r="G32" s="23"/>
      <c r="H32" s="15"/>
    </row>
    <row r="33" spans="2:8" x14ac:dyDescent="0.2">
      <c r="B33" s="12" t="s">
        <v>21</v>
      </c>
      <c r="C33" s="16">
        <v>79133.329673190005</v>
      </c>
      <c r="D33" s="13"/>
      <c r="E33" s="13"/>
      <c r="F33" s="13"/>
      <c r="G33" s="23"/>
      <c r="H33" s="15"/>
    </row>
    <row r="34" spans="2:8" x14ac:dyDescent="0.2">
      <c r="B34" s="12" t="s">
        <v>22</v>
      </c>
      <c r="C34" s="16">
        <v>81654.723725809992</v>
      </c>
      <c r="D34" s="13"/>
      <c r="E34" s="13"/>
      <c r="F34" s="13"/>
      <c r="G34" s="23"/>
      <c r="H34" s="15"/>
    </row>
    <row r="35" spans="2:8" x14ac:dyDescent="0.2">
      <c r="B35" s="12" t="s">
        <v>23</v>
      </c>
      <c r="C35" s="16">
        <v>78742.452405090007</v>
      </c>
      <c r="D35" s="13"/>
      <c r="E35" s="13"/>
      <c r="F35" s="13"/>
      <c r="G35" s="23"/>
      <c r="H35" s="15"/>
    </row>
    <row r="36" spans="2:8" x14ac:dyDescent="0.2">
      <c r="B36" s="12" t="s">
        <v>24</v>
      </c>
      <c r="C36" s="16">
        <v>81318.165826070006</v>
      </c>
      <c r="D36" s="13"/>
      <c r="E36" s="13"/>
      <c r="F36" s="13"/>
      <c r="G36" s="23"/>
      <c r="H36" s="15"/>
    </row>
    <row r="37" spans="2:8" x14ac:dyDescent="0.2">
      <c r="B37" s="12" t="s">
        <v>25</v>
      </c>
      <c r="C37" s="16">
        <v>894730.81316441996</v>
      </c>
      <c r="D37" s="18">
        <f>+E37*F22</f>
        <v>695636.0616371847</v>
      </c>
      <c r="E37" s="18">
        <f>+E32-E22</f>
        <v>480290.14153426001</v>
      </c>
      <c r="F37" s="13" t="s">
        <v>29</v>
      </c>
      <c r="G37" s="23"/>
      <c r="H37" s="15"/>
    </row>
    <row r="38" spans="2:8" x14ac:dyDescent="0.2">
      <c r="B38" s="12"/>
      <c r="C38" s="13"/>
      <c r="D38" s="13"/>
      <c r="E38" s="13"/>
      <c r="F38" s="13"/>
      <c r="G38" s="23"/>
      <c r="H38" s="15"/>
    </row>
    <row r="39" spans="2:8" x14ac:dyDescent="0.2">
      <c r="B39" s="13"/>
      <c r="C39" s="13"/>
      <c r="D39" s="13"/>
      <c r="E39" s="13"/>
      <c r="F39" s="13"/>
      <c r="G39" s="23"/>
      <c r="H39" s="15"/>
    </row>
    <row r="40" spans="2:8" x14ac:dyDescent="0.2">
      <c r="B40" s="13"/>
      <c r="C40" s="13"/>
      <c r="D40" s="13" t="s">
        <v>26</v>
      </c>
      <c r="E40" s="13">
        <f>(400*25)*3.5</f>
        <v>35000</v>
      </c>
      <c r="F40" s="13"/>
      <c r="G40" s="23"/>
      <c r="H40" s="15"/>
    </row>
    <row r="41" spans="2:8" x14ac:dyDescent="0.2">
      <c r="B41" s="15"/>
      <c r="C41" s="15"/>
      <c r="D41" s="15" t="s">
        <v>27</v>
      </c>
      <c r="E41" s="15">
        <f>+(55000*1)</f>
        <v>55000</v>
      </c>
      <c r="F41" s="19">
        <f>+G41*F22</f>
        <v>-565283.0934347742</v>
      </c>
      <c r="G41" s="24">
        <f>+E42-E37</f>
        <v>-390290.14153426001</v>
      </c>
      <c r="H41" s="15" t="s">
        <v>30</v>
      </c>
    </row>
    <row r="42" spans="2:8" x14ac:dyDescent="0.2">
      <c r="B42" s="15"/>
      <c r="C42" s="15"/>
      <c r="D42" s="15"/>
      <c r="E42" s="20">
        <f>SUM(E40:E41)</f>
        <v>90000</v>
      </c>
      <c r="F42" s="15"/>
      <c r="G42" s="23"/>
      <c r="H42" s="15"/>
    </row>
    <row r="43" spans="2:8" x14ac:dyDescent="0.2">
      <c r="B43" s="15"/>
      <c r="C43" s="15"/>
      <c r="D43" s="15"/>
      <c r="E43" s="15"/>
      <c r="F43" s="15"/>
      <c r="G43" s="23"/>
      <c r="H43" s="15"/>
    </row>
    <row r="44" spans="2:8" x14ac:dyDescent="0.2">
      <c r="B44" s="15"/>
      <c r="C44" s="15"/>
      <c r="D44" s="15"/>
      <c r="E44" s="15"/>
      <c r="F44" s="15"/>
      <c r="G44" s="23"/>
      <c r="H44" s="15"/>
    </row>
    <row r="45" spans="2:8" x14ac:dyDescent="0.2">
      <c r="B45" s="15"/>
      <c r="C45" s="15"/>
      <c r="D45" s="15"/>
      <c r="E45" s="15"/>
      <c r="F45" s="15"/>
      <c r="G45" s="23"/>
      <c r="H45" s="15"/>
    </row>
    <row r="46" spans="2:8" x14ac:dyDescent="0.2">
      <c r="B46" s="15"/>
      <c r="C46" s="15"/>
      <c r="D46" s="15"/>
      <c r="E46" s="15"/>
      <c r="F46" s="15"/>
      <c r="G46" s="23"/>
      <c r="H46" s="15"/>
    </row>
  </sheetData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Consumos Explosivos 2014</vt:lpstr>
      <vt:lpstr>Consumos Explosivos 2013</vt:lpstr>
      <vt:lpstr>Consumos Explosivos 2012</vt:lpstr>
      <vt:lpstr>Consumo de explosivo 2010</vt:lpstr>
    </vt:vector>
  </TitlesOfParts>
  <Company>Cementos Argos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aurango</dc:creator>
  <cp:lastModifiedBy>Pedro Godin</cp:lastModifiedBy>
  <cp:lastPrinted>2012-02-06T13:53:06Z</cp:lastPrinted>
  <dcterms:created xsi:type="dcterms:W3CDTF">2010-05-14T15:42:42Z</dcterms:created>
  <dcterms:modified xsi:type="dcterms:W3CDTF">2014-05-19T16:29:25Z</dcterms:modified>
</cp:coreProperties>
</file>